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716" windowHeight="9120" activeTab="0"/>
  </bookViews>
  <sheets>
    <sheet name="入力" sheetId="1" r:id="rId1"/>
    <sheet name="データ" sheetId="2" state="hidden" r:id="rId2"/>
    <sheet name="横断走行" sheetId="3" r:id="rId3"/>
    <sheet name="縦断走行" sheetId="4" r:id="rId4"/>
  </sheets>
  <definedNames>
    <definedName name="_xlnm.Print_Area" localSheetId="2">'横断走行'!$A$1:$I$285</definedName>
    <definedName name="_xlnm.Print_Area" localSheetId="3">'縦断走行'!$A$1:$I$285</definedName>
    <definedName name="_xlnm.Print_Area" localSheetId="0">'入力'!$A$1:$N$31</definedName>
  </definedNames>
  <calcPr fullCalcOnLoad="1"/>
</workbook>
</file>

<file path=xl/sharedStrings.xml><?xml version="1.0" encoding="utf-8"?>
<sst xmlns="http://schemas.openxmlformats.org/spreadsheetml/2006/main" count="319" uniqueCount="147">
  <si>
    <t>蓋の寸法</t>
  </si>
  <si>
    <t>全幅</t>
  </si>
  <si>
    <t>長さ</t>
  </si>
  <si>
    <t>厚さ</t>
  </si>
  <si>
    <t>側溝内幅</t>
  </si>
  <si>
    <t>A(m)</t>
  </si>
  <si>
    <t>B(m)</t>
  </si>
  <si>
    <t>L(m)</t>
  </si>
  <si>
    <t>t(m)</t>
  </si>
  <si>
    <t>一輪荷重</t>
  </si>
  <si>
    <t>衝撃係数</t>
  </si>
  <si>
    <t>設置幅</t>
  </si>
  <si>
    <t>設置長</t>
  </si>
  <si>
    <t>P(kN)</t>
  </si>
  <si>
    <t>I</t>
  </si>
  <si>
    <t>a(m)</t>
  </si>
  <si>
    <t>b(m)</t>
  </si>
  <si>
    <t>走行方向</t>
  </si>
  <si>
    <t>ｺﾝｸﾘｰﾄ</t>
  </si>
  <si>
    <t>材料</t>
  </si>
  <si>
    <t>かぶり</t>
  </si>
  <si>
    <t>主鉄筋本数</t>
  </si>
  <si>
    <t>横断方向</t>
  </si>
  <si>
    <t>縦断方向</t>
  </si>
  <si>
    <r>
      <t>σck=21N/mm</t>
    </r>
    <r>
      <rPr>
        <vertAlign val="superscript"/>
        <sz val="11"/>
        <rFont val="ＭＳ 明朝"/>
        <family val="1"/>
      </rPr>
      <t>2</t>
    </r>
  </si>
  <si>
    <r>
      <t>σck=24N/mm</t>
    </r>
    <r>
      <rPr>
        <vertAlign val="superscript"/>
        <sz val="11"/>
        <rFont val="ＭＳ 明朝"/>
        <family val="1"/>
      </rPr>
      <t>2</t>
    </r>
  </si>
  <si>
    <r>
      <t>σck=28N/mm</t>
    </r>
    <r>
      <rPr>
        <vertAlign val="superscript"/>
        <sz val="11"/>
        <rFont val="ＭＳ 明朝"/>
        <family val="1"/>
      </rPr>
      <t>2</t>
    </r>
  </si>
  <si>
    <r>
      <t>σck=30N/mm</t>
    </r>
    <r>
      <rPr>
        <vertAlign val="superscript"/>
        <sz val="11"/>
        <rFont val="ＭＳ 明朝"/>
        <family val="1"/>
      </rPr>
      <t>2</t>
    </r>
  </si>
  <si>
    <t>SD345</t>
  </si>
  <si>
    <t>SD295A</t>
  </si>
  <si>
    <t>N(本)</t>
  </si>
  <si>
    <t>許容応力割増係数</t>
  </si>
  <si>
    <t>c(mm)</t>
  </si>
  <si>
    <t>主鉄筋径</t>
  </si>
  <si>
    <t>D10</t>
  </si>
  <si>
    <t>D13</t>
  </si>
  <si>
    <t>D16</t>
  </si>
  <si>
    <t>D19</t>
  </si>
  <si>
    <t>D22</t>
  </si>
  <si>
    <t>D25</t>
  </si>
  <si>
    <t>D29</t>
  </si>
  <si>
    <t>D6</t>
  </si>
  <si>
    <t>D32</t>
  </si>
  <si>
    <t>鉄筋材質</t>
  </si>
  <si>
    <t>側溝蓋の設計計算</t>
  </si>
  <si>
    <t>自動車</t>
  </si>
  <si>
    <t>１．設計条件</t>
  </si>
  <si>
    <t>（１）蓋の寸法</t>
  </si>
  <si>
    <t>A=</t>
  </si>
  <si>
    <t>B=</t>
  </si>
  <si>
    <t>L=</t>
  </si>
  <si>
    <t>t=</t>
  </si>
  <si>
    <t>m</t>
  </si>
  <si>
    <t>（２）自動車荷重</t>
  </si>
  <si>
    <t>P=</t>
  </si>
  <si>
    <t>I=</t>
  </si>
  <si>
    <t>a=</t>
  </si>
  <si>
    <t>b=</t>
  </si>
  <si>
    <t>kN</t>
  </si>
  <si>
    <t>（３）使用材料と許容応力度</t>
  </si>
  <si>
    <t>　ａ）コンクリート</t>
  </si>
  <si>
    <t>設計基準強度</t>
  </si>
  <si>
    <t>許容曲げ圧縮応力度</t>
  </si>
  <si>
    <t>σca=</t>
  </si>
  <si>
    <t>許容平均せん断応力度</t>
  </si>
  <si>
    <t>τca=</t>
  </si>
  <si>
    <t>　ｂ）鉄筋</t>
  </si>
  <si>
    <t>材質</t>
  </si>
  <si>
    <t>c=</t>
  </si>
  <si>
    <t>mm</t>
  </si>
  <si>
    <t>N=</t>
  </si>
  <si>
    <t>本</t>
  </si>
  <si>
    <t>k=</t>
  </si>
  <si>
    <t>鉄筋量</t>
  </si>
  <si>
    <t>As=</t>
  </si>
  <si>
    <t>許容引張応力度</t>
  </si>
  <si>
    <t>σsa=</t>
  </si>
  <si>
    <t>２．荷重と断面力</t>
  </si>
  <si>
    <t>荷重</t>
  </si>
  <si>
    <t>kN/m</t>
  </si>
  <si>
    <t>せん断力(支点よりx=t/2の位置)</t>
  </si>
  <si>
    <t>（１）支間</t>
  </si>
  <si>
    <t>（２）死荷重</t>
  </si>
  <si>
    <t>支点反力</t>
  </si>
  <si>
    <t>x=</t>
  </si>
  <si>
    <t>曲げモーメント(支間中央)</t>
  </si>
  <si>
    <t>kN-m</t>
  </si>
  <si>
    <t>（３）活荷重</t>
  </si>
  <si>
    <t>輪荷重分布幅</t>
  </si>
  <si>
    <t>u'=</t>
  </si>
  <si>
    <t>b+t=</t>
  </si>
  <si>
    <t>荷重強度</t>
  </si>
  <si>
    <t>荷重の載荷幅</t>
  </si>
  <si>
    <t>u=</t>
  </si>
  <si>
    <t>v=</t>
  </si>
  <si>
    <t>曲げモーメントに対する有効幅</t>
  </si>
  <si>
    <t>be=</t>
  </si>
  <si>
    <t>ls=</t>
  </si>
  <si>
    <t>S=</t>
  </si>
  <si>
    <t>曲げモーメント</t>
  </si>
  <si>
    <t>M=</t>
  </si>
  <si>
    <t>有効幅を考慮した曲げモーメント</t>
  </si>
  <si>
    <t>（４）断面力</t>
  </si>
  <si>
    <t>せん断力</t>
  </si>
  <si>
    <t>Ml=</t>
  </si>
  <si>
    <t>Sl=</t>
  </si>
  <si>
    <t>Ml'=</t>
  </si>
  <si>
    <t>３．応力度</t>
  </si>
  <si>
    <t>部材有効幅</t>
  </si>
  <si>
    <t>部材有効高</t>
  </si>
  <si>
    <t>鉄筋量</t>
  </si>
  <si>
    <t>np=</t>
  </si>
  <si>
    <t>j=</t>
  </si>
  <si>
    <t>σc=</t>
  </si>
  <si>
    <t>σs=</t>
  </si>
  <si>
    <t>τc=</t>
  </si>
  <si>
    <t>τca=</t>
  </si>
  <si>
    <t>=</t>
  </si>
  <si>
    <t>σca=</t>
  </si>
  <si>
    <t>コンクリートの曲げ圧縮応力度</t>
  </si>
  <si>
    <t>鉄筋の引張応力度</t>
  </si>
  <si>
    <t>コンクリートの平均せん断応力度</t>
  </si>
  <si>
    <t>σsa=</t>
  </si>
  <si>
    <t>σck=</t>
  </si>
  <si>
    <r>
      <t>N/mm</t>
    </r>
    <r>
      <rPr>
        <vertAlign val="superscript"/>
        <sz val="11"/>
        <rFont val="ＭＳ 明朝"/>
        <family val="1"/>
      </rPr>
      <t>2</t>
    </r>
  </si>
  <si>
    <r>
      <t>mm</t>
    </r>
    <r>
      <rPr>
        <vertAlign val="superscript"/>
        <sz val="11"/>
        <rFont val="ＭＳ 明朝"/>
        <family val="1"/>
      </rPr>
      <t>2</t>
    </r>
  </si>
  <si>
    <t>a+t=</t>
  </si>
  <si>
    <t>ｺﾝｸﾘｰﾄ</t>
  </si>
  <si>
    <t>鉄筋</t>
  </si>
  <si>
    <t>せん断</t>
  </si>
  <si>
    <t>計算結果</t>
  </si>
  <si>
    <t>縦断走行</t>
  </si>
  <si>
    <t>横断走行</t>
  </si>
  <si>
    <t>許容応力</t>
  </si>
  <si>
    <t>判定</t>
  </si>
  <si>
    <t>応力度</t>
  </si>
  <si>
    <t>許容応力</t>
  </si>
  <si>
    <t>照査項目</t>
  </si>
  <si>
    <r>
      <t>応力照査(N/mm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</si>
  <si>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 xml:space="preserve">  a≦Aの場合 u'=a+t≦A</t>
  </si>
  <si>
    <t xml:space="preserve">  a&lt;Aの場合　u'=a</t>
  </si>
  <si>
    <t>ls=</t>
  </si>
  <si>
    <t>m</t>
  </si>
  <si>
    <t>u=</t>
  </si>
  <si>
    <t xml:space="preserve">  b≦Aの場合　u'=b+t≦A</t>
  </si>
  <si>
    <t xml:space="preserve">  b&gt;Aの場合　u'=b</t>
  </si>
  <si>
    <t>σck(N/mm2)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</si>
</sst>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明朝"/>
      <family val="1"/>
    </font>
    <font>
      <sz val="6"/>
      <name val="ＭＳ Ｐ明朝"/>
      <family val="1"/>
    </font>
    <font>
      <vertAlign val="superscript"/>
      <sz val="11"/>
      <name val="ＭＳ 明朝"/>
      <family val="1"/>
    </font>
    <font>
      <b/>
      <sz val="11"/>
      <name val="ＭＳ 明朝"/>
      <family val="1"/>
    </font>
    <font>
      <u val="single"/>
      <sz val="14.4"/>
      <color indexed="12"/>
      <name val="ＭＳ 明朝"/>
      <family val="1"/>
    </font>
    <font>
      <sz val="14"/>
      <color indexed="61"/>
      <name val="ＭＳ Ｐゴシック"/>
      <family val="3"/>
    </font>
    <font>
      <u val="single"/>
      <sz val="11"/>
      <color indexed="36"/>
      <name val="ＭＳ 明朝"/>
      <family val="1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3" fillId="3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shrinkToFit="1"/>
    </xf>
    <xf numFmtId="49" fontId="5" fillId="33" borderId="0" xfId="0" applyNumberFormat="1" applyFont="1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4.emf" /><Relationship Id="rId3" Type="http://schemas.openxmlformats.org/officeDocument/2006/relationships/image" Target="../media/image1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Relationship Id="rId9" Type="http://schemas.openxmlformats.org/officeDocument/2006/relationships/image" Target="../media/image17.emf" /><Relationship Id="rId10" Type="http://schemas.openxmlformats.org/officeDocument/2006/relationships/image" Target="../media/image18.emf" /><Relationship Id="rId11" Type="http://schemas.openxmlformats.org/officeDocument/2006/relationships/image" Target="../media/image19.emf" /><Relationship Id="rId12" Type="http://schemas.openxmlformats.org/officeDocument/2006/relationships/image" Target="../media/image20.emf" /><Relationship Id="rId13" Type="http://schemas.openxmlformats.org/officeDocument/2006/relationships/image" Target="../media/image21.emf" /><Relationship Id="rId14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4.emf" /><Relationship Id="rId3" Type="http://schemas.openxmlformats.org/officeDocument/2006/relationships/image" Target="../media/image1.emf" /><Relationship Id="rId4" Type="http://schemas.openxmlformats.org/officeDocument/2006/relationships/image" Target="../media/image28.emf" /><Relationship Id="rId5" Type="http://schemas.openxmlformats.org/officeDocument/2006/relationships/image" Target="../media/image12.emf" /><Relationship Id="rId6" Type="http://schemas.openxmlformats.org/officeDocument/2006/relationships/image" Target="../media/image29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15.emf" /><Relationship Id="rId10" Type="http://schemas.openxmlformats.org/officeDocument/2006/relationships/image" Target="../media/image16.emf" /><Relationship Id="rId11" Type="http://schemas.openxmlformats.org/officeDocument/2006/relationships/image" Target="../media/image17.emf" /><Relationship Id="rId12" Type="http://schemas.openxmlformats.org/officeDocument/2006/relationships/image" Target="../media/image18.emf" /><Relationship Id="rId13" Type="http://schemas.openxmlformats.org/officeDocument/2006/relationships/image" Target="../media/image19.emf" /><Relationship Id="rId14" Type="http://schemas.openxmlformats.org/officeDocument/2006/relationships/image" Target="../media/image2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25.emf" /><Relationship Id="rId6" Type="http://schemas.openxmlformats.org/officeDocument/2006/relationships/image" Target="../media/image26.emf" /><Relationship Id="rId7" Type="http://schemas.openxmlformats.org/officeDocument/2006/relationships/image" Target="../media/image27.emf" /><Relationship Id="rId8" Type="http://schemas.openxmlformats.org/officeDocument/2006/relationships/image" Target="../media/image23.emf" /><Relationship Id="rId9" Type="http://schemas.openxmlformats.org/officeDocument/2006/relationships/image" Target="../media/image2.emf" /><Relationship Id="rId10" Type="http://schemas.openxmlformats.org/officeDocument/2006/relationships/image" Target="../media/image5.emf" /><Relationship Id="rId11" Type="http://schemas.openxmlformats.org/officeDocument/2006/relationships/image" Target="../media/image6.emf" /><Relationship Id="rId1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25.emf" /><Relationship Id="rId6" Type="http://schemas.openxmlformats.org/officeDocument/2006/relationships/image" Target="../media/image26.emf" /><Relationship Id="rId7" Type="http://schemas.openxmlformats.org/officeDocument/2006/relationships/image" Target="../media/image27.emf" /><Relationship Id="rId8" Type="http://schemas.openxmlformats.org/officeDocument/2006/relationships/image" Target="../media/image23.emf" /><Relationship Id="rId9" Type="http://schemas.openxmlformats.org/officeDocument/2006/relationships/image" Target="../media/image2.emf" /><Relationship Id="rId10" Type="http://schemas.openxmlformats.org/officeDocument/2006/relationships/image" Target="../media/image5.emf" /><Relationship Id="rId11" Type="http://schemas.openxmlformats.org/officeDocument/2006/relationships/image" Target="../media/image6.emf" /><Relationship Id="rId1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295275</xdr:rowOff>
    </xdr:from>
    <xdr:to>
      <xdr:col>13</xdr:col>
      <xdr:colOff>638175</xdr:colOff>
      <xdr:row>6</xdr:row>
      <xdr:rowOff>295275</xdr:rowOff>
    </xdr:to>
    <xdr:grpSp>
      <xdr:nvGrpSpPr>
        <xdr:cNvPr id="1" name="Group 22"/>
        <xdr:cNvGrpSpPr>
          <a:grpSpLocks/>
        </xdr:cNvGrpSpPr>
      </xdr:nvGrpSpPr>
      <xdr:grpSpPr>
        <a:xfrm>
          <a:off x="3762375" y="295275"/>
          <a:ext cx="7896225" cy="1885950"/>
          <a:chOff x="355" y="40"/>
          <a:chExt cx="745" cy="246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56"/>
            <a:ext cx="745" cy="2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459" y="41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462" y="159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0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649" y="123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1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872" y="40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752475</xdr:colOff>
      <xdr:row>15</xdr:row>
      <xdr:rowOff>180975</xdr:rowOff>
    </xdr:from>
    <xdr:to>
      <xdr:col>12</xdr:col>
      <xdr:colOff>561975</xdr:colOff>
      <xdr:row>29</xdr:row>
      <xdr:rowOff>171450</xdr:rowOff>
    </xdr:to>
    <xdr:grpSp>
      <xdr:nvGrpSpPr>
        <xdr:cNvPr id="7" name="Group 20"/>
        <xdr:cNvGrpSpPr>
          <a:grpSpLocks/>
        </xdr:cNvGrpSpPr>
      </xdr:nvGrpSpPr>
      <xdr:grpSpPr>
        <a:xfrm>
          <a:off x="5838825" y="4895850"/>
          <a:ext cx="4895850" cy="4391025"/>
          <a:chOff x="551" y="639"/>
          <a:chExt cx="462" cy="572"/>
        </a:xfrm>
        <a:solidFill>
          <a:srgbClr val="FFFFFF"/>
        </a:solidFill>
      </xdr:grpSpPr>
      <xdr:pic>
        <xdr:nvPicPr>
          <xdr:cNvPr id="8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1" y="653"/>
            <a:ext cx="391" cy="5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5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641" y="639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6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932" y="746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7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872" y="800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8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849" y="986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9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696" y="1178"/>
            <a:ext cx="156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152400</xdr:rowOff>
    </xdr:from>
    <xdr:to>
      <xdr:col>7</xdr:col>
      <xdr:colOff>752475</xdr:colOff>
      <xdr:row>19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133350" y="1647825"/>
          <a:ext cx="6486525" cy="1714500"/>
          <a:chOff x="13" y="216"/>
          <a:chExt cx="619" cy="20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" y="234"/>
            <a:ext cx="619" cy="19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98" y="217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91" y="316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254" y="290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440" y="216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95250</xdr:colOff>
      <xdr:row>28</xdr:row>
      <xdr:rowOff>28575</xdr:rowOff>
    </xdr:from>
    <xdr:to>
      <xdr:col>7</xdr:col>
      <xdr:colOff>561975</xdr:colOff>
      <xdr:row>41</xdr:row>
      <xdr:rowOff>95250</xdr:rowOff>
    </xdr:to>
    <xdr:grpSp>
      <xdr:nvGrpSpPr>
        <xdr:cNvPr id="7" name="Group 7"/>
        <xdr:cNvGrpSpPr>
          <a:grpSpLocks/>
        </xdr:cNvGrpSpPr>
      </xdr:nvGrpSpPr>
      <xdr:grpSpPr>
        <a:xfrm>
          <a:off x="95250" y="4829175"/>
          <a:ext cx="6334125" cy="2419350"/>
          <a:chOff x="9" y="620"/>
          <a:chExt cx="605" cy="293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620"/>
            <a:ext cx="605" cy="2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241" y="886"/>
            <a:ext cx="81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384" y="890"/>
            <a:ext cx="81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120" y="723"/>
            <a:ext cx="15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  <xdr:twoCellAnchor>
    <xdr:from>
      <xdr:col>1</xdr:col>
      <xdr:colOff>342900</xdr:colOff>
      <xdr:row>57</xdr:row>
      <xdr:rowOff>95250</xdr:rowOff>
    </xdr:from>
    <xdr:to>
      <xdr:col>6</xdr:col>
      <xdr:colOff>714375</xdr:colOff>
      <xdr:row>81</xdr:row>
      <xdr:rowOff>76200</xdr:rowOff>
    </xdr:to>
    <xdr:grpSp>
      <xdr:nvGrpSpPr>
        <xdr:cNvPr id="12" name="Group 12"/>
        <xdr:cNvGrpSpPr>
          <a:grpSpLocks/>
        </xdr:cNvGrpSpPr>
      </xdr:nvGrpSpPr>
      <xdr:grpSpPr>
        <a:xfrm>
          <a:off x="1181100" y="10058400"/>
          <a:ext cx="4562475" cy="4324350"/>
          <a:chOff x="113" y="1285"/>
          <a:chExt cx="435" cy="525"/>
        </a:xfrm>
        <a:solidFill>
          <a:srgbClr val="FFFFFF"/>
        </a:solidFill>
      </xdr:grpSpPr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3" y="1304"/>
            <a:ext cx="354" cy="5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467" y="1386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174" y="1285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371" y="1599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241" y="1774"/>
            <a:ext cx="156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406" y="1444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419100</xdr:colOff>
      <xdr:row>120</xdr:row>
      <xdr:rowOff>142875</xdr:rowOff>
    </xdr:from>
    <xdr:to>
      <xdr:col>2</xdr:col>
      <xdr:colOff>752475</xdr:colOff>
      <xdr:row>122</xdr:row>
      <xdr:rowOff>9525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21088350"/>
          <a:ext cx="1171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191</xdr:row>
      <xdr:rowOff>47625</xdr:rowOff>
    </xdr:from>
    <xdr:to>
      <xdr:col>5</xdr:col>
      <xdr:colOff>714375</xdr:colOff>
      <xdr:row>217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33747075"/>
          <a:ext cx="4457700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157</xdr:row>
      <xdr:rowOff>171450</xdr:rowOff>
    </xdr:from>
    <xdr:to>
      <xdr:col>5</xdr:col>
      <xdr:colOff>742950</xdr:colOff>
      <xdr:row>182</xdr:row>
      <xdr:rowOff>19050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27774900"/>
          <a:ext cx="453390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279</xdr:row>
      <xdr:rowOff>0</xdr:rowOff>
    </xdr:from>
    <xdr:to>
      <xdr:col>4</xdr:col>
      <xdr:colOff>28575</xdr:colOff>
      <xdr:row>279</xdr:row>
      <xdr:rowOff>0</xdr:rowOff>
    </xdr:to>
    <xdr:sp>
      <xdr:nvSpPr>
        <xdr:cNvPr id="22" name="Line 25"/>
        <xdr:cNvSpPr>
          <a:spLocks/>
        </xdr:cNvSpPr>
      </xdr:nvSpPr>
      <xdr:spPr>
        <a:xfrm>
          <a:off x="2552700" y="49120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457200</xdr:colOff>
      <xdr:row>278</xdr:row>
      <xdr:rowOff>47625</xdr:rowOff>
    </xdr:from>
    <xdr:ext cx="104775" cy="219075"/>
    <xdr:sp fLocksText="0">
      <xdr:nvSpPr>
        <xdr:cNvPr id="23" name="Text Box 26"/>
        <xdr:cNvSpPr txBox="1">
          <a:spLocks noChangeArrowheads="1"/>
        </xdr:cNvSpPr>
      </xdr:nvSpPr>
      <xdr:spPr>
        <a:xfrm>
          <a:off x="3810000" y="489870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</xdr:col>
      <xdr:colOff>590550</xdr:colOff>
      <xdr:row>277</xdr:row>
      <xdr:rowOff>161925</xdr:rowOff>
    </xdr:from>
    <xdr:to>
      <xdr:col>2</xdr:col>
      <xdr:colOff>561975</xdr:colOff>
      <xdr:row>280</xdr:row>
      <xdr:rowOff>19050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0" y="48920400"/>
          <a:ext cx="809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259</xdr:row>
      <xdr:rowOff>142875</xdr:rowOff>
    </xdr:from>
    <xdr:to>
      <xdr:col>2</xdr:col>
      <xdr:colOff>552450</xdr:colOff>
      <xdr:row>262</xdr:row>
      <xdr:rowOff>28575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6825" y="45777150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268</xdr:row>
      <xdr:rowOff>152400</xdr:rowOff>
    </xdr:from>
    <xdr:to>
      <xdr:col>2</xdr:col>
      <xdr:colOff>561975</xdr:colOff>
      <xdr:row>271</xdr:row>
      <xdr:rowOff>38100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0" y="473487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261</xdr:row>
      <xdr:rowOff>0</xdr:rowOff>
    </xdr:from>
    <xdr:to>
      <xdr:col>5</xdr:col>
      <xdr:colOff>800100</xdr:colOff>
      <xdr:row>261</xdr:row>
      <xdr:rowOff>0</xdr:rowOff>
    </xdr:to>
    <xdr:sp>
      <xdr:nvSpPr>
        <xdr:cNvPr id="27" name="Line 30"/>
        <xdr:cNvSpPr>
          <a:spLocks/>
        </xdr:cNvSpPr>
      </xdr:nvSpPr>
      <xdr:spPr>
        <a:xfrm>
          <a:off x="2581275" y="459962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270</xdr:row>
      <xdr:rowOff>9525</xdr:rowOff>
    </xdr:from>
    <xdr:to>
      <xdr:col>5</xdr:col>
      <xdr:colOff>76200</xdr:colOff>
      <xdr:row>270</xdr:row>
      <xdr:rowOff>9525</xdr:rowOff>
    </xdr:to>
    <xdr:sp>
      <xdr:nvSpPr>
        <xdr:cNvPr id="28" name="Line 31"/>
        <xdr:cNvSpPr>
          <a:spLocks/>
        </xdr:cNvSpPr>
      </xdr:nvSpPr>
      <xdr:spPr>
        <a:xfrm>
          <a:off x="2514600" y="475678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495300</xdr:colOff>
      <xdr:row>242</xdr:row>
      <xdr:rowOff>161925</xdr:rowOff>
    </xdr:from>
    <xdr:to>
      <xdr:col>2</xdr:col>
      <xdr:colOff>504825</xdr:colOff>
      <xdr:row>245</xdr:row>
      <xdr:rowOff>19050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33500" y="42776775"/>
          <a:ext cx="847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245</xdr:row>
      <xdr:rowOff>161925</xdr:rowOff>
    </xdr:from>
    <xdr:to>
      <xdr:col>2</xdr:col>
      <xdr:colOff>542925</xdr:colOff>
      <xdr:row>248</xdr:row>
      <xdr:rowOff>19050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76350" y="4331970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800100</xdr:colOff>
      <xdr:row>246</xdr:row>
      <xdr:rowOff>171450</xdr:rowOff>
    </xdr:from>
    <xdr:to>
      <xdr:col>4</xdr:col>
      <xdr:colOff>190500</xdr:colOff>
      <xdr:row>246</xdr:row>
      <xdr:rowOff>171450</xdr:rowOff>
    </xdr:to>
    <xdr:sp>
      <xdr:nvSpPr>
        <xdr:cNvPr id="31" name="Line 34"/>
        <xdr:cNvSpPr>
          <a:spLocks/>
        </xdr:cNvSpPr>
      </xdr:nvSpPr>
      <xdr:spPr>
        <a:xfrm>
          <a:off x="2476500" y="4351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438150</xdr:colOff>
      <xdr:row>251</xdr:row>
      <xdr:rowOff>104775</xdr:rowOff>
    </xdr:from>
    <xdr:to>
      <xdr:col>3</xdr:col>
      <xdr:colOff>409575</xdr:colOff>
      <xdr:row>253</xdr:row>
      <xdr:rowOff>76200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76350" y="44329350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123</xdr:row>
      <xdr:rowOff>0</xdr:rowOff>
    </xdr:from>
    <xdr:to>
      <xdr:col>7</xdr:col>
      <xdr:colOff>600075</xdr:colOff>
      <xdr:row>151</xdr:row>
      <xdr:rowOff>85725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1488400"/>
          <a:ext cx="6286500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114</xdr:row>
      <xdr:rowOff>161925</xdr:rowOff>
    </xdr:from>
    <xdr:to>
      <xdr:col>2</xdr:col>
      <xdr:colOff>619125</xdr:colOff>
      <xdr:row>118</xdr:row>
      <xdr:rowOff>47625</xdr:rowOff>
    </xdr:to>
    <xdr:pic>
      <xdr:nvPicPr>
        <xdr:cNvPr id="34" name="Picture 3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52550" y="20040600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212</xdr:row>
      <xdr:rowOff>133350</xdr:rowOff>
    </xdr:from>
    <xdr:to>
      <xdr:col>6</xdr:col>
      <xdr:colOff>333375</xdr:colOff>
      <xdr:row>217</xdr:row>
      <xdr:rowOff>28575</xdr:rowOff>
    </xdr:to>
    <xdr:sp>
      <xdr:nvSpPr>
        <xdr:cNvPr id="35" name="Text Box 41"/>
        <xdr:cNvSpPr txBox="1">
          <a:spLocks noChangeArrowheads="1"/>
        </xdr:cNvSpPr>
      </xdr:nvSpPr>
      <xdr:spPr>
        <a:xfrm>
          <a:off x="2076450" y="37633275"/>
          <a:ext cx="32861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ls&gt;u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の場合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Ml=(2ls-u)u*p/8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ls&lt;u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の場合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Ml=p*ls^2/8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152400</xdr:rowOff>
    </xdr:from>
    <xdr:to>
      <xdr:col>7</xdr:col>
      <xdr:colOff>752475</xdr:colOff>
      <xdr:row>19</xdr:row>
      <xdr:rowOff>57150</xdr:rowOff>
    </xdr:to>
    <xdr:grpSp>
      <xdr:nvGrpSpPr>
        <xdr:cNvPr id="1" name="Group 52"/>
        <xdr:cNvGrpSpPr>
          <a:grpSpLocks/>
        </xdr:cNvGrpSpPr>
      </xdr:nvGrpSpPr>
      <xdr:grpSpPr>
        <a:xfrm>
          <a:off x="133350" y="1628775"/>
          <a:ext cx="6486525" cy="1714500"/>
          <a:chOff x="13" y="216"/>
          <a:chExt cx="619" cy="20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" y="234"/>
            <a:ext cx="619" cy="19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98" y="217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91" y="316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254" y="290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440" y="216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95250</xdr:colOff>
      <xdr:row>28</xdr:row>
      <xdr:rowOff>28575</xdr:rowOff>
    </xdr:from>
    <xdr:to>
      <xdr:col>7</xdr:col>
      <xdr:colOff>561975</xdr:colOff>
      <xdr:row>41</xdr:row>
      <xdr:rowOff>95250</xdr:rowOff>
    </xdr:to>
    <xdr:grpSp>
      <xdr:nvGrpSpPr>
        <xdr:cNvPr id="7" name="Group 53"/>
        <xdr:cNvGrpSpPr>
          <a:grpSpLocks/>
        </xdr:cNvGrpSpPr>
      </xdr:nvGrpSpPr>
      <xdr:grpSpPr>
        <a:xfrm>
          <a:off x="95250" y="4810125"/>
          <a:ext cx="6334125" cy="2419350"/>
          <a:chOff x="9" y="620"/>
          <a:chExt cx="605" cy="293"/>
        </a:xfrm>
        <a:solidFill>
          <a:srgbClr val="FFFFFF"/>
        </a:solidFill>
      </xdr:grpSpPr>
      <xdr:pic>
        <xdr:nvPicPr>
          <xdr:cNvPr id="8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620"/>
            <a:ext cx="605" cy="2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7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241" y="886"/>
            <a:ext cx="81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10" name="Picture 8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384" y="890"/>
            <a:ext cx="81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11" name="Picture 9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120" y="723"/>
            <a:ext cx="15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  <xdr:twoCellAnchor>
    <xdr:from>
      <xdr:col>1</xdr:col>
      <xdr:colOff>342900</xdr:colOff>
      <xdr:row>57</xdr:row>
      <xdr:rowOff>95250</xdr:rowOff>
    </xdr:from>
    <xdr:to>
      <xdr:col>6</xdr:col>
      <xdr:colOff>714375</xdr:colOff>
      <xdr:row>81</xdr:row>
      <xdr:rowOff>76200</xdr:rowOff>
    </xdr:to>
    <xdr:grpSp>
      <xdr:nvGrpSpPr>
        <xdr:cNvPr id="12" name="Group 54"/>
        <xdr:cNvGrpSpPr>
          <a:grpSpLocks/>
        </xdr:cNvGrpSpPr>
      </xdr:nvGrpSpPr>
      <xdr:grpSpPr>
        <a:xfrm>
          <a:off x="1181100" y="10039350"/>
          <a:ext cx="4562475" cy="4324350"/>
          <a:chOff x="113" y="1285"/>
          <a:chExt cx="435" cy="525"/>
        </a:xfrm>
        <a:solidFill>
          <a:srgbClr val="FFFFFF"/>
        </a:solidFill>
      </xdr:grpSpPr>
      <xdr:pic>
        <xdr:nvPicPr>
          <xdr:cNvPr id="13" name="Picture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3" y="1304"/>
            <a:ext cx="354" cy="5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1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467" y="1386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2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174" y="1285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3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371" y="1599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4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241" y="1774"/>
            <a:ext cx="156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5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406" y="1444"/>
            <a:ext cx="81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504825</xdr:colOff>
      <xdr:row>114</xdr:row>
      <xdr:rowOff>123825</xdr:rowOff>
    </xdr:from>
    <xdr:to>
      <xdr:col>2</xdr:col>
      <xdr:colOff>609600</xdr:colOff>
      <xdr:row>118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19964400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120</xdr:row>
      <xdr:rowOff>142875</xdr:rowOff>
    </xdr:from>
    <xdr:to>
      <xdr:col>2</xdr:col>
      <xdr:colOff>752475</xdr:colOff>
      <xdr:row>122</xdr:row>
      <xdr:rowOff>9525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" y="21050250"/>
          <a:ext cx="1171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123</xdr:row>
      <xdr:rowOff>104775</xdr:rowOff>
    </xdr:from>
    <xdr:to>
      <xdr:col>7</xdr:col>
      <xdr:colOff>419100</xdr:colOff>
      <xdr:row>153</xdr:row>
      <xdr:rowOff>9525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21555075"/>
          <a:ext cx="62103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191</xdr:row>
      <xdr:rowOff>47625</xdr:rowOff>
    </xdr:from>
    <xdr:to>
      <xdr:col>5</xdr:col>
      <xdr:colOff>714375</xdr:colOff>
      <xdr:row>217</xdr:row>
      <xdr:rowOff>76200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33708975"/>
          <a:ext cx="4457700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157</xdr:row>
      <xdr:rowOff>171450</xdr:rowOff>
    </xdr:from>
    <xdr:to>
      <xdr:col>5</xdr:col>
      <xdr:colOff>742950</xdr:colOff>
      <xdr:row>182</xdr:row>
      <xdr:rowOff>19050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" y="27736800"/>
          <a:ext cx="453390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279</xdr:row>
      <xdr:rowOff>0</xdr:rowOff>
    </xdr:from>
    <xdr:to>
      <xdr:col>4</xdr:col>
      <xdr:colOff>28575</xdr:colOff>
      <xdr:row>279</xdr:row>
      <xdr:rowOff>0</xdr:rowOff>
    </xdr:to>
    <xdr:sp>
      <xdr:nvSpPr>
        <xdr:cNvPr id="24" name="Line 39"/>
        <xdr:cNvSpPr>
          <a:spLocks/>
        </xdr:cNvSpPr>
      </xdr:nvSpPr>
      <xdr:spPr>
        <a:xfrm>
          <a:off x="2552700" y="490823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457200</xdr:colOff>
      <xdr:row>278</xdr:row>
      <xdr:rowOff>47625</xdr:rowOff>
    </xdr:from>
    <xdr:ext cx="104775" cy="219075"/>
    <xdr:sp fLocksText="0">
      <xdr:nvSpPr>
        <xdr:cNvPr id="25" name="Text Box 40"/>
        <xdr:cNvSpPr txBox="1">
          <a:spLocks noChangeArrowheads="1"/>
        </xdr:cNvSpPr>
      </xdr:nvSpPr>
      <xdr:spPr>
        <a:xfrm>
          <a:off x="3810000" y="489489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</xdr:col>
      <xdr:colOff>590550</xdr:colOff>
      <xdr:row>277</xdr:row>
      <xdr:rowOff>161925</xdr:rowOff>
    </xdr:from>
    <xdr:to>
      <xdr:col>2</xdr:col>
      <xdr:colOff>561975</xdr:colOff>
      <xdr:row>280</xdr:row>
      <xdr:rowOff>19050</xdr:rowOff>
    </xdr:to>
    <xdr:pic>
      <xdr:nvPicPr>
        <xdr:cNvPr id="26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0" y="48882300"/>
          <a:ext cx="809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259</xdr:row>
      <xdr:rowOff>142875</xdr:rowOff>
    </xdr:from>
    <xdr:to>
      <xdr:col>2</xdr:col>
      <xdr:colOff>552450</xdr:colOff>
      <xdr:row>262</xdr:row>
      <xdr:rowOff>28575</xdr:rowOff>
    </xdr:to>
    <xdr:pic>
      <xdr:nvPicPr>
        <xdr:cNvPr id="27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6825" y="45739050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268</xdr:row>
      <xdr:rowOff>152400</xdr:rowOff>
    </xdr:from>
    <xdr:to>
      <xdr:col>2</xdr:col>
      <xdr:colOff>561975</xdr:colOff>
      <xdr:row>271</xdr:row>
      <xdr:rowOff>38100</xdr:rowOff>
    </xdr:to>
    <xdr:pic>
      <xdr:nvPicPr>
        <xdr:cNvPr id="28" name="Picture 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33500" y="473106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260</xdr:row>
      <xdr:rowOff>171450</xdr:rowOff>
    </xdr:from>
    <xdr:to>
      <xdr:col>5</xdr:col>
      <xdr:colOff>800100</xdr:colOff>
      <xdr:row>260</xdr:row>
      <xdr:rowOff>171450</xdr:rowOff>
    </xdr:to>
    <xdr:sp>
      <xdr:nvSpPr>
        <xdr:cNvPr id="29" name="Line 44"/>
        <xdr:cNvSpPr>
          <a:spLocks/>
        </xdr:cNvSpPr>
      </xdr:nvSpPr>
      <xdr:spPr>
        <a:xfrm>
          <a:off x="2581275" y="459486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733425</xdr:colOff>
      <xdr:row>269</xdr:row>
      <xdr:rowOff>171450</xdr:rowOff>
    </xdr:from>
    <xdr:to>
      <xdr:col>4</xdr:col>
      <xdr:colOff>809625</xdr:colOff>
      <xdr:row>269</xdr:row>
      <xdr:rowOff>171450</xdr:rowOff>
    </xdr:to>
    <xdr:sp>
      <xdr:nvSpPr>
        <xdr:cNvPr id="30" name="Line 45"/>
        <xdr:cNvSpPr>
          <a:spLocks/>
        </xdr:cNvSpPr>
      </xdr:nvSpPr>
      <xdr:spPr>
        <a:xfrm>
          <a:off x="2409825" y="475107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495300</xdr:colOff>
      <xdr:row>242</xdr:row>
      <xdr:rowOff>161925</xdr:rowOff>
    </xdr:from>
    <xdr:to>
      <xdr:col>2</xdr:col>
      <xdr:colOff>504825</xdr:colOff>
      <xdr:row>245</xdr:row>
      <xdr:rowOff>19050</xdr:rowOff>
    </xdr:to>
    <xdr:pic>
      <xdr:nvPicPr>
        <xdr:cNvPr id="31" name="Picture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33500" y="42738675"/>
          <a:ext cx="847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245</xdr:row>
      <xdr:rowOff>161925</xdr:rowOff>
    </xdr:from>
    <xdr:to>
      <xdr:col>2</xdr:col>
      <xdr:colOff>542925</xdr:colOff>
      <xdr:row>248</xdr:row>
      <xdr:rowOff>19050</xdr:rowOff>
    </xdr:to>
    <xdr:pic>
      <xdr:nvPicPr>
        <xdr:cNvPr id="32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76350" y="4328160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800100</xdr:colOff>
      <xdr:row>246</xdr:row>
      <xdr:rowOff>171450</xdr:rowOff>
    </xdr:from>
    <xdr:to>
      <xdr:col>4</xdr:col>
      <xdr:colOff>190500</xdr:colOff>
      <xdr:row>246</xdr:row>
      <xdr:rowOff>171450</xdr:rowOff>
    </xdr:to>
    <xdr:sp>
      <xdr:nvSpPr>
        <xdr:cNvPr id="33" name="Line 49"/>
        <xdr:cNvSpPr>
          <a:spLocks/>
        </xdr:cNvSpPr>
      </xdr:nvSpPr>
      <xdr:spPr>
        <a:xfrm>
          <a:off x="2476500" y="434721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438150</xdr:colOff>
      <xdr:row>251</xdr:row>
      <xdr:rowOff>104775</xdr:rowOff>
    </xdr:from>
    <xdr:to>
      <xdr:col>3</xdr:col>
      <xdr:colOff>409575</xdr:colOff>
      <xdr:row>253</xdr:row>
      <xdr:rowOff>76200</xdr:rowOff>
    </xdr:to>
    <xdr:pic>
      <xdr:nvPicPr>
        <xdr:cNvPr id="34" name="Picture 5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76350" y="44291250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212</xdr:row>
      <xdr:rowOff>123825</xdr:rowOff>
    </xdr:from>
    <xdr:to>
      <xdr:col>6</xdr:col>
      <xdr:colOff>247650</xdr:colOff>
      <xdr:row>217</xdr:row>
      <xdr:rowOff>19050</xdr:rowOff>
    </xdr:to>
    <xdr:sp>
      <xdr:nvSpPr>
        <xdr:cNvPr id="35" name="Text Box 56"/>
        <xdr:cNvSpPr txBox="1">
          <a:spLocks noChangeArrowheads="1"/>
        </xdr:cNvSpPr>
      </xdr:nvSpPr>
      <xdr:spPr>
        <a:xfrm>
          <a:off x="1990725" y="37585650"/>
          <a:ext cx="32861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ls&gt;u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の場合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Ml=(2ls-u)u*p/8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ls&lt;u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の場合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Ml=p*ls^2/8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8"/>
  <sheetViews>
    <sheetView showGridLines="0" showRowColHeaders="0" tabSelected="1" zoomScale="75" zoomScaleNormal="75" zoomScalePageLayoutView="0" workbookViewId="0" topLeftCell="A19">
      <selection activeCell="A32" sqref="A32:G38"/>
    </sheetView>
  </sheetViews>
  <sheetFormatPr defaultColWidth="8.796875" defaultRowHeight="24.75" customHeight="1"/>
  <cols>
    <col min="1" max="16384" width="8.8984375" style="1" customWidth="1"/>
  </cols>
  <sheetData>
    <row r="1" ht="24.75" customHeight="1">
      <c r="A1" s="5" t="s">
        <v>44</v>
      </c>
    </row>
    <row r="4" spans="1:4" ht="24.75" customHeight="1">
      <c r="A4" s="25" t="s">
        <v>0</v>
      </c>
      <c r="B4" s="2" t="s">
        <v>1</v>
      </c>
      <c r="C4" s="2" t="s">
        <v>5</v>
      </c>
      <c r="D4" s="15">
        <v>1.7</v>
      </c>
    </row>
    <row r="5" spans="1:4" ht="24.75" customHeight="1">
      <c r="A5" s="25"/>
      <c r="B5" s="2" t="s">
        <v>4</v>
      </c>
      <c r="C5" s="2" t="s">
        <v>6</v>
      </c>
      <c r="D5" s="15">
        <v>1.3</v>
      </c>
    </row>
    <row r="6" spans="1:4" ht="24.75" customHeight="1">
      <c r="A6" s="25"/>
      <c r="B6" s="2" t="s">
        <v>2</v>
      </c>
      <c r="C6" s="2" t="s">
        <v>7</v>
      </c>
      <c r="D6" s="15">
        <v>5</v>
      </c>
    </row>
    <row r="7" spans="1:4" ht="24.75" customHeight="1">
      <c r="A7" s="25"/>
      <c r="B7" s="2" t="s">
        <v>3</v>
      </c>
      <c r="C7" s="2" t="s">
        <v>8</v>
      </c>
      <c r="D7" s="15">
        <v>0.2</v>
      </c>
    </row>
    <row r="8" spans="1:4" ht="24.75" customHeight="1">
      <c r="A8" s="3"/>
      <c r="B8" s="3"/>
      <c r="C8" s="3"/>
      <c r="D8" s="3"/>
    </row>
    <row r="9" spans="1:4" ht="24.75" customHeight="1">
      <c r="A9" s="25" t="s">
        <v>45</v>
      </c>
      <c r="B9" s="2" t="s">
        <v>9</v>
      </c>
      <c r="C9" s="2" t="s">
        <v>13</v>
      </c>
      <c r="D9" s="15">
        <v>50</v>
      </c>
    </row>
    <row r="10" spans="1:4" ht="24.75" customHeight="1">
      <c r="A10" s="25"/>
      <c r="B10" s="2" t="s">
        <v>10</v>
      </c>
      <c r="C10" s="2" t="s">
        <v>14</v>
      </c>
      <c r="D10" s="15">
        <v>0.3</v>
      </c>
    </row>
    <row r="11" spans="1:4" ht="24.75" customHeight="1">
      <c r="A11" s="25"/>
      <c r="B11" s="2" t="s">
        <v>11</v>
      </c>
      <c r="C11" s="2" t="s">
        <v>15</v>
      </c>
      <c r="D11" s="15">
        <v>0.2</v>
      </c>
    </row>
    <row r="12" spans="1:4" ht="24.75" customHeight="1">
      <c r="A12" s="25"/>
      <c r="B12" s="2" t="s">
        <v>12</v>
      </c>
      <c r="C12" s="2" t="s">
        <v>16</v>
      </c>
      <c r="D12" s="15">
        <v>0.5</v>
      </c>
    </row>
    <row r="13" spans="1:4" ht="24.75" customHeight="1">
      <c r="A13" s="25"/>
      <c r="B13" s="2" t="s">
        <v>17</v>
      </c>
      <c r="C13" s="2"/>
      <c r="D13" s="2"/>
    </row>
    <row r="14" spans="1:4" ht="24.75" customHeight="1">
      <c r="A14" s="3"/>
      <c r="B14" s="3"/>
      <c r="C14" s="3"/>
      <c r="D14" s="3"/>
    </row>
    <row r="15" spans="1:4" ht="24.75" customHeight="1">
      <c r="A15" s="25" t="s">
        <v>19</v>
      </c>
      <c r="B15" s="2" t="s">
        <v>18</v>
      </c>
      <c r="C15" s="4" t="s">
        <v>146</v>
      </c>
      <c r="D15" s="15">
        <v>24</v>
      </c>
    </row>
    <row r="16" spans="1:4" ht="24.75" customHeight="1">
      <c r="A16" s="25"/>
      <c r="B16" s="2" t="s">
        <v>43</v>
      </c>
      <c r="C16" s="2"/>
      <c r="D16" s="2"/>
    </row>
    <row r="17" spans="1:4" ht="24.75" customHeight="1">
      <c r="A17" s="25"/>
      <c r="B17" s="2" t="s">
        <v>33</v>
      </c>
      <c r="C17" s="2"/>
      <c r="D17" s="2"/>
    </row>
    <row r="18" spans="1:4" ht="24.75" customHeight="1">
      <c r="A18" s="25"/>
      <c r="B18" s="2" t="s">
        <v>20</v>
      </c>
      <c r="C18" s="2" t="s">
        <v>32</v>
      </c>
      <c r="D18" s="15">
        <v>50</v>
      </c>
    </row>
    <row r="19" spans="1:4" ht="24.75" customHeight="1">
      <c r="A19" s="25"/>
      <c r="B19" s="4" t="s">
        <v>21</v>
      </c>
      <c r="C19" s="2" t="s">
        <v>30</v>
      </c>
      <c r="D19" s="15">
        <v>40</v>
      </c>
    </row>
    <row r="20" spans="1:4" ht="24.75" customHeight="1">
      <c r="A20" s="25"/>
      <c r="B20" s="23" t="s">
        <v>31</v>
      </c>
      <c r="C20" s="24"/>
      <c r="D20" s="15">
        <v>1</v>
      </c>
    </row>
    <row r="21" spans="1:4" ht="24.75" customHeight="1">
      <c r="A21" s="3"/>
      <c r="B21" s="3"/>
      <c r="C21" s="3"/>
      <c r="D21" s="3"/>
    </row>
    <row r="22" spans="1:5" ht="24.75" customHeight="1">
      <c r="A22" s="20" t="s">
        <v>138</v>
      </c>
      <c r="B22" s="2" t="s">
        <v>137</v>
      </c>
      <c r="C22" s="2" t="s">
        <v>135</v>
      </c>
      <c r="D22" s="2" t="s">
        <v>136</v>
      </c>
      <c r="E22" s="2" t="s">
        <v>134</v>
      </c>
    </row>
    <row r="23" spans="1:5" ht="24.75" customHeight="1">
      <c r="A23" s="21"/>
      <c r="B23" s="2" t="s">
        <v>127</v>
      </c>
      <c r="C23" s="2">
        <f>IF(データ!$B$6=2,データ!B35,データ!C35)</f>
        <v>6.38</v>
      </c>
      <c r="D23" s="15">
        <v>8</v>
      </c>
      <c r="E23" s="2" t="str">
        <f>IF(C23&lt;=D23,"safe","out")</f>
        <v>safe</v>
      </c>
    </row>
    <row r="24" spans="1:5" ht="24.75" customHeight="1">
      <c r="A24" s="21"/>
      <c r="B24" s="2" t="s">
        <v>128</v>
      </c>
      <c r="C24" s="2">
        <f>IF(データ!$B$6=2,データ!B36,データ!C36)</f>
        <v>128.6</v>
      </c>
      <c r="D24" s="15">
        <v>180</v>
      </c>
      <c r="E24" s="2" t="str">
        <f>IF(C24&lt;=D24,"safe","out")</f>
        <v>safe</v>
      </c>
    </row>
    <row r="25" spans="1:5" ht="24.75" customHeight="1">
      <c r="A25" s="22"/>
      <c r="B25" s="2" t="s">
        <v>129</v>
      </c>
      <c r="C25" s="2">
        <f>IF(データ!$B$6=2,データ!B37,データ!C37)</f>
        <v>0.08</v>
      </c>
      <c r="D25" s="15">
        <v>0.39</v>
      </c>
      <c r="E25" s="2" t="str">
        <f>IF(C25&lt;=D25,"safe","out")</f>
        <v>safe</v>
      </c>
    </row>
    <row r="32" spans="2:9" ht="24.75" customHeight="1">
      <c r="B32" s="16"/>
      <c r="C32" s="16"/>
      <c r="D32" s="16"/>
      <c r="E32" s="16"/>
      <c r="F32" s="16"/>
      <c r="G32" s="16"/>
      <c r="H32" s="16"/>
      <c r="I32" s="16"/>
    </row>
    <row r="33" spans="2:9" ht="24.75" customHeight="1">
      <c r="B33" s="17"/>
      <c r="C33" s="16"/>
      <c r="D33" s="16"/>
      <c r="E33" s="16"/>
      <c r="F33" s="16"/>
      <c r="G33" s="16"/>
      <c r="H33" s="16"/>
      <c r="I33" s="16"/>
    </row>
    <row r="34" spans="2:9" ht="24.75" customHeight="1">
      <c r="B34" s="16"/>
      <c r="C34" s="16"/>
      <c r="D34" s="16"/>
      <c r="E34" s="16"/>
      <c r="F34" s="16"/>
      <c r="G34" s="16"/>
      <c r="H34" s="16"/>
      <c r="I34" s="16"/>
    </row>
    <row r="35" spans="2:9" ht="24.75" customHeight="1">
      <c r="B35" s="16"/>
      <c r="C35" s="16"/>
      <c r="D35" s="16"/>
      <c r="E35" s="16"/>
      <c r="F35" s="16"/>
      <c r="G35" s="16"/>
      <c r="H35" s="16"/>
      <c r="I35" s="16"/>
    </row>
    <row r="36" spans="2:9" ht="24.75" customHeight="1">
      <c r="B36" s="16"/>
      <c r="C36" s="16"/>
      <c r="D36" s="16"/>
      <c r="E36" s="16"/>
      <c r="F36" s="16"/>
      <c r="G36" s="16"/>
      <c r="H36" s="16"/>
      <c r="I36" s="16"/>
    </row>
    <row r="37" spans="2:9" ht="24.75" customHeight="1">
      <c r="B37" s="18"/>
      <c r="C37" s="19"/>
      <c r="D37" s="16"/>
      <c r="E37" s="16"/>
      <c r="F37" s="16"/>
      <c r="G37" s="16"/>
      <c r="H37" s="16"/>
      <c r="I37" s="16"/>
    </row>
    <row r="38" spans="2:9" ht="24.75" customHeight="1">
      <c r="B38" s="18"/>
      <c r="C38" s="19"/>
      <c r="D38" s="16"/>
      <c r="E38" s="16"/>
      <c r="F38" s="16"/>
      <c r="G38" s="16"/>
      <c r="H38" s="16"/>
      <c r="I38" s="16"/>
    </row>
  </sheetData>
  <sheetProtection sheet="1" objects="1" scenarios="1"/>
  <mergeCells count="5">
    <mergeCell ref="A22:A25"/>
    <mergeCell ref="B20:C20"/>
    <mergeCell ref="A15:A20"/>
    <mergeCell ref="A4:A7"/>
    <mergeCell ref="A9:A13"/>
  </mergeCells>
  <conditionalFormatting sqref="C23">
    <cfRule type="cellIs" priority="1" dxfId="3" operator="greaterThan" stopIfTrue="1">
      <formula>$D$23</formula>
    </cfRule>
  </conditionalFormatting>
  <conditionalFormatting sqref="C24">
    <cfRule type="cellIs" priority="2" dxfId="3" operator="greaterThan" stopIfTrue="1">
      <formula>$D$24</formula>
    </cfRule>
  </conditionalFormatting>
  <conditionalFormatting sqref="C25">
    <cfRule type="cellIs" priority="3" dxfId="3" operator="greaterThan" stopIfTrue="1">
      <formula>$D$25</formula>
    </cfRule>
  </conditionalFormatting>
  <printOptions/>
  <pageMargins left="0.75" right="0.75" top="1" bottom="1" header="0.512" footer="0.512"/>
  <pageSetup horizontalDpi="600" verticalDpi="600" orientation="portrait" paperSize="9" scale="6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M37"/>
  <sheetViews>
    <sheetView showGridLines="0" zoomScalePageLayoutView="0" workbookViewId="0" topLeftCell="A19">
      <selection activeCell="D35" sqref="D35"/>
    </sheetView>
  </sheetViews>
  <sheetFormatPr defaultColWidth="8.796875" defaultRowHeight="14.25"/>
  <cols>
    <col min="6" max="6" width="14" style="0" customWidth="1"/>
    <col min="10" max="10" width="17.19921875" style="0" customWidth="1"/>
  </cols>
  <sheetData>
    <row r="3" spans="11:13" ht="12.75">
      <c r="K3">
        <v>1</v>
      </c>
      <c r="L3" t="s">
        <v>41</v>
      </c>
      <c r="M3">
        <v>31.67</v>
      </c>
    </row>
    <row r="4" spans="2:13" ht="15">
      <c r="B4">
        <v>1</v>
      </c>
      <c r="C4" t="s">
        <v>22</v>
      </c>
      <c r="E4">
        <v>1</v>
      </c>
      <c r="F4" t="s">
        <v>24</v>
      </c>
      <c r="G4">
        <v>21</v>
      </c>
      <c r="H4">
        <v>1</v>
      </c>
      <c r="I4" t="s">
        <v>28</v>
      </c>
      <c r="J4">
        <f>IF('入力'!$D$20=1,180,200*'入力'!$D$20)</f>
        <v>180</v>
      </c>
      <c r="K4">
        <v>2</v>
      </c>
      <c r="L4" t="s">
        <v>34</v>
      </c>
      <c r="M4">
        <v>71.33</v>
      </c>
    </row>
    <row r="5" spans="2:13" ht="15">
      <c r="B5">
        <v>2</v>
      </c>
      <c r="C5" t="s">
        <v>23</v>
      </c>
      <c r="E5">
        <v>2</v>
      </c>
      <c r="F5" t="s">
        <v>25</v>
      </c>
      <c r="G5">
        <v>24</v>
      </c>
      <c r="H5">
        <v>2</v>
      </c>
      <c r="I5" t="s">
        <v>29</v>
      </c>
      <c r="J5">
        <f>IF('入力'!$D$20=1,180,180*'入力'!$D$20)</f>
        <v>180</v>
      </c>
      <c r="K5">
        <v>3</v>
      </c>
      <c r="L5" t="s">
        <v>35</v>
      </c>
      <c r="M5">
        <v>126.7</v>
      </c>
    </row>
    <row r="6" spans="2:13" ht="15">
      <c r="B6">
        <v>2</v>
      </c>
      <c r="C6" t="str">
        <f>IF(B6=1,"横断方向","縦断方向")</f>
        <v>縦断方向</v>
      </c>
      <c r="E6">
        <v>3</v>
      </c>
      <c r="F6" t="s">
        <v>26</v>
      </c>
      <c r="G6">
        <v>28</v>
      </c>
      <c r="H6">
        <v>2</v>
      </c>
      <c r="I6" t="str">
        <f>IF(H6=1,"SD345","SD295A")</f>
        <v>SD295A</v>
      </c>
      <c r="J6">
        <f>IF(H6=1,J4,J5)</f>
        <v>180</v>
      </c>
      <c r="K6">
        <v>4</v>
      </c>
      <c r="L6" t="s">
        <v>36</v>
      </c>
      <c r="M6">
        <v>198.6</v>
      </c>
    </row>
    <row r="7" spans="5:13" ht="15">
      <c r="E7">
        <v>4</v>
      </c>
      <c r="F7" t="s">
        <v>27</v>
      </c>
      <c r="G7">
        <v>30</v>
      </c>
      <c r="K7">
        <v>5</v>
      </c>
      <c r="L7" t="s">
        <v>37</v>
      </c>
      <c r="M7">
        <v>286.5</v>
      </c>
    </row>
    <row r="8" spans="5:13" ht="12.75">
      <c r="E8">
        <v>2</v>
      </c>
      <c r="F8" t="str">
        <f>VLOOKUP($E$8,$E$4:$G$7,2,FALSE)</f>
        <v>σck=24N/mm2</v>
      </c>
      <c r="G8">
        <f>VLOOKUP($E$8,$E$4:$G$7,3,FALSE)</f>
        <v>24</v>
      </c>
      <c r="K8">
        <v>6</v>
      </c>
      <c r="L8" t="s">
        <v>38</v>
      </c>
      <c r="M8">
        <v>387.1</v>
      </c>
    </row>
    <row r="9" spans="11:13" ht="12.75">
      <c r="K9">
        <v>7</v>
      </c>
      <c r="L9" t="s">
        <v>39</v>
      </c>
      <c r="M9">
        <v>506.7</v>
      </c>
    </row>
    <row r="10" spans="11:13" ht="12.75">
      <c r="K10">
        <v>8</v>
      </c>
      <c r="L10" t="s">
        <v>40</v>
      </c>
      <c r="M10">
        <v>642.4</v>
      </c>
    </row>
    <row r="11" spans="11:13" ht="12.75">
      <c r="K11">
        <v>9</v>
      </c>
      <c r="L11" t="s">
        <v>42</v>
      </c>
      <c r="M11">
        <v>794.2</v>
      </c>
    </row>
    <row r="12" spans="2:13" ht="12.75">
      <c r="B12" t="str">
        <f>'入力'!B4</f>
        <v>全幅</v>
      </c>
      <c r="C12" t="str">
        <f>'入力'!C4</f>
        <v>A(m)</v>
      </c>
      <c r="D12">
        <f>'入力'!D4</f>
        <v>1.7</v>
      </c>
      <c r="G12" t="str">
        <f>"A="&amp;D12&amp;"m"</f>
        <v>A=1.7m</v>
      </c>
      <c r="K12">
        <v>4</v>
      </c>
      <c r="L12" t="str">
        <f>VLOOKUP($K$12,$K$3:$M$11,2,FALSE)</f>
        <v>D16</v>
      </c>
      <c r="M12">
        <f>VLOOKUP($K$12,$K$3:$M$11,3,FALSE)</f>
        <v>198.6</v>
      </c>
    </row>
    <row r="13" spans="2:7" ht="12.75">
      <c r="B13" t="str">
        <f>'入力'!B5</f>
        <v>側溝内幅</v>
      </c>
      <c r="C13" t="str">
        <f>'入力'!C5</f>
        <v>B(m)</v>
      </c>
      <c r="D13">
        <f>'入力'!D5</f>
        <v>1.3</v>
      </c>
      <c r="G13" t="str">
        <f>"B="&amp;D13&amp;"m"</f>
        <v>B=1.3m</v>
      </c>
    </row>
    <row r="14" spans="2:7" ht="12.75">
      <c r="B14" t="str">
        <f>'入力'!B6</f>
        <v>長さ</v>
      </c>
      <c r="C14" t="str">
        <f>'入力'!C6</f>
        <v>L(m)</v>
      </c>
      <c r="D14">
        <f>'入力'!D6</f>
        <v>5</v>
      </c>
      <c r="G14" t="str">
        <f>"L="&amp;D14&amp;"m"</f>
        <v>L=5m</v>
      </c>
    </row>
    <row r="15" spans="2:7" ht="12.75">
      <c r="B15" t="str">
        <f>'入力'!B7</f>
        <v>厚さ</v>
      </c>
      <c r="C15" t="str">
        <f>'入力'!C7</f>
        <v>t(m)</v>
      </c>
      <c r="D15">
        <f>'入力'!D7</f>
        <v>0.2</v>
      </c>
      <c r="G15" t="str">
        <f>"t="&amp;D15&amp;"m"</f>
        <v>t=0.2m</v>
      </c>
    </row>
    <row r="17" spans="2:10" ht="12.75">
      <c r="B17" t="str">
        <f>'入力'!B9</f>
        <v>一輪荷重</v>
      </c>
      <c r="C17" t="str">
        <f>'入力'!C9</f>
        <v>P(kN)</v>
      </c>
      <c r="D17">
        <f>'入力'!D9</f>
        <v>50</v>
      </c>
      <c r="J17" t="str">
        <f>"P="&amp;D17&amp;"kN(I="&amp;D18&amp;")"</f>
        <v>P=50kN(I=0.3)</v>
      </c>
    </row>
    <row r="18" spans="2:7" ht="12.75">
      <c r="B18" t="str">
        <f>'入力'!B10</f>
        <v>衝撃係数</v>
      </c>
      <c r="C18" t="str">
        <f>'入力'!C10</f>
        <v>I</v>
      </c>
      <c r="D18">
        <f>'入力'!D10</f>
        <v>0.3</v>
      </c>
      <c r="G18" t="str">
        <f>"L="&amp;D14*1000&amp;"mm"</f>
        <v>L=5000mm</v>
      </c>
    </row>
    <row r="19" spans="2:7" ht="12.75">
      <c r="B19" t="str">
        <f>'入力'!B11</f>
        <v>設置幅</v>
      </c>
      <c r="C19" t="str">
        <f>'入力'!C11</f>
        <v>a(m)</v>
      </c>
      <c r="D19">
        <f>'入力'!D11</f>
        <v>0.2</v>
      </c>
      <c r="G19" t="str">
        <f>"a="&amp;D19&amp;"m"</f>
        <v>a=0.2m</v>
      </c>
    </row>
    <row r="20" spans="2:7" ht="12.75">
      <c r="B20" t="str">
        <f>'入力'!B12</f>
        <v>設置長</v>
      </c>
      <c r="C20" t="str">
        <f>'入力'!C12</f>
        <v>b(m)</v>
      </c>
      <c r="D20">
        <f>'入力'!D12</f>
        <v>0.5</v>
      </c>
      <c r="G20" t="str">
        <f>"b="&amp;D20&amp;"m"</f>
        <v>b=0.5m</v>
      </c>
    </row>
    <row r="23" ht="12.75">
      <c r="G23" t="str">
        <f>"t="&amp;D15*1000&amp;"mm"</f>
        <v>t=200mm</v>
      </c>
    </row>
    <row r="24" ht="12.75">
      <c r="G24" t="str">
        <f>"A="&amp;D12*1000&amp;"mm"</f>
        <v>A=1700mm</v>
      </c>
    </row>
    <row r="25" spans="2:7" ht="12.75">
      <c r="B25" t="str">
        <f>'入力'!B18</f>
        <v>かぶり</v>
      </c>
      <c r="C25" t="str">
        <f>'入力'!C18</f>
        <v>c(mm)</v>
      </c>
      <c r="D25">
        <f>'入力'!D18</f>
        <v>50</v>
      </c>
      <c r="G25" t="str">
        <f>"c="&amp;D25&amp;"mm"</f>
        <v>c=50mm</v>
      </c>
    </row>
    <row r="26" spans="2:10" ht="12.75">
      <c r="B26" t="str">
        <f>'入力'!B19</f>
        <v>主鉄筋本数</v>
      </c>
      <c r="C26" t="str">
        <f>'入力'!C19</f>
        <v>N(本)</v>
      </c>
      <c r="D26">
        <f>'入力'!D19</f>
        <v>40</v>
      </c>
      <c r="J26" t="str">
        <f>L12&amp;"×"&amp;D26&amp;"本("&amp;I6&amp;")"</f>
        <v>D16×40本(SD295A)</v>
      </c>
    </row>
    <row r="32" ht="12.75">
      <c r="A32" t="s">
        <v>130</v>
      </c>
    </row>
    <row r="34" spans="2:5" ht="12.75">
      <c r="B34" t="s">
        <v>131</v>
      </c>
      <c r="C34" t="s">
        <v>132</v>
      </c>
      <c r="D34" t="s">
        <v>133</v>
      </c>
      <c r="E34" t="s">
        <v>134</v>
      </c>
    </row>
    <row r="35" spans="1:4" ht="12.75">
      <c r="A35" t="s">
        <v>127</v>
      </c>
      <c r="B35">
        <f>'縦断走行'!C264</f>
        <v>6.38</v>
      </c>
      <c r="C35">
        <f>'横断走行'!C264</f>
        <v>5.22</v>
      </c>
      <c r="D35">
        <f>'縦断走行'!G264</f>
        <v>8</v>
      </c>
    </row>
    <row r="36" spans="1:4" ht="12.75">
      <c r="A36" t="s">
        <v>128</v>
      </c>
      <c r="B36">
        <f>'縦断走行'!C273</f>
        <v>128.6</v>
      </c>
      <c r="C36">
        <f>'横断走行'!C273</f>
        <v>105.2</v>
      </c>
      <c r="D36">
        <f>'縦断走行'!G273</f>
        <v>180</v>
      </c>
    </row>
    <row r="37" spans="1:4" ht="12.75">
      <c r="A37" t="s">
        <v>129</v>
      </c>
      <c r="B37">
        <f>'縦断走行'!C282</f>
        <v>0.08</v>
      </c>
      <c r="C37">
        <f>'横断走行'!C282</f>
        <v>0.09</v>
      </c>
      <c r="D37">
        <f>'縦断走行'!G282</f>
        <v>0.39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K284"/>
  <sheetViews>
    <sheetView zoomScalePageLayoutView="0" workbookViewId="0" topLeftCell="A262">
      <selection activeCell="C51" sqref="C51"/>
    </sheetView>
  </sheetViews>
  <sheetFormatPr defaultColWidth="8.796875" defaultRowHeight="14.25"/>
  <sheetData>
    <row r="2" ht="12.75">
      <c r="A2" t="s">
        <v>46</v>
      </c>
    </row>
    <row r="4" ht="12.75">
      <c r="A4" t="s">
        <v>47</v>
      </c>
    </row>
    <row r="5" spans="2:5" ht="12.75">
      <c r="B5" t="str">
        <f>'入力'!B4</f>
        <v>全幅</v>
      </c>
      <c r="C5" s="6" t="s">
        <v>48</v>
      </c>
      <c r="D5">
        <f>'入力'!D4</f>
        <v>1.7</v>
      </c>
      <c r="E5" t="s">
        <v>52</v>
      </c>
    </row>
    <row r="6" spans="2:5" ht="12.75">
      <c r="B6" t="str">
        <f>'入力'!B5</f>
        <v>側溝内幅</v>
      </c>
      <c r="C6" s="6" t="s">
        <v>49</v>
      </c>
      <c r="D6">
        <f>'入力'!D5</f>
        <v>1.3</v>
      </c>
      <c r="E6" t="s">
        <v>52</v>
      </c>
    </row>
    <row r="7" spans="2:5" ht="12.75">
      <c r="B7" t="str">
        <f>'入力'!B6</f>
        <v>長さ</v>
      </c>
      <c r="C7" s="6" t="s">
        <v>50</v>
      </c>
      <c r="D7">
        <f>'入力'!D6</f>
        <v>5</v>
      </c>
      <c r="E7" t="s">
        <v>52</v>
      </c>
    </row>
    <row r="8" spans="2:5" ht="12.75">
      <c r="B8" t="str">
        <f>'入力'!B7</f>
        <v>厚さ</v>
      </c>
      <c r="C8" s="6" t="s">
        <v>51</v>
      </c>
      <c r="D8">
        <f>'入力'!D7</f>
        <v>0.2</v>
      </c>
      <c r="E8" t="s">
        <v>52</v>
      </c>
    </row>
    <row r="9" ht="12.75">
      <c r="C9" s="6"/>
    </row>
    <row r="10" ht="14.25">
      <c r="C10" s="6"/>
    </row>
    <row r="11" ht="14.25">
      <c r="C11" s="6"/>
    </row>
    <row r="12" ht="14.25">
      <c r="C12" s="6"/>
    </row>
    <row r="13" ht="14.25">
      <c r="C13" s="6"/>
    </row>
    <row r="14" ht="14.25">
      <c r="C14" s="6"/>
    </row>
    <row r="15" ht="14.25">
      <c r="C15" s="6"/>
    </row>
    <row r="16" ht="14.25">
      <c r="C16" s="6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2.75">
      <c r="C21" s="6"/>
    </row>
    <row r="22" ht="12.75">
      <c r="A22" t="s">
        <v>53</v>
      </c>
    </row>
    <row r="23" spans="2:5" ht="12.75">
      <c r="B23" t="str">
        <f>'入力'!B9</f>
        <v>一輪荷重</v>
      </c>
      <c r="C23" s="6" t="s">
        <v>54</v>
      </c>
      <c r="D23">
        <f>'入力'!D9</f>
        <v>50</v>
      </c>
      <c r="E23" t="s">
        <v>58</v>
      </c>
    </row>
    <row r="24" spans="2:4" ht="12.75">
      <c r="B24" t="str">
        <f>'入力'!B10</f>
        <v>衝撃係数</v>
      </c>
      <c r="C24" s="6" t="s">
        <v>55</v>
      </c>
      <c r="D24">
        <f>'入力'!D10</f>
        <v>0.3</v>
      </c>
    </row>
    <row r="25" spans="2:5" ht="12.75">
      <c r="B25" t="str">
        <f>'入力'!B11</f>
        <v>設置幅</v>
      </c>
      <c r="C25" s="6" t="s">
        <v>56</v>
      </c>
      <c r="D25">
        <f>'入力'!D11</f>
        <v>0.2</v>
      </c>
      <c r="E25" t="s">
        <v>52</v>
      </c>
    </row>
    <row r="26" spans="2:5" ht="12.75">
      <c r="B26" t="str">
        <f>'入力'!B12</f>
        <v>設置長</v>
      </c>
      <c r="C26" s="6" t="s">
        <v>57</v>
      </c>
      <c r="D26">
        <f>'入力'!D12</f>
        <v>0.5</v>
      </c>
      <c r="E26" t="s">
        <v>52</v>
      </c>
    </row>
    <row r="27" spans="2:4" ht="12.75">
      <c r="B27" t="str">
        <f>'入力'!B13</f>
        <v>走行方向</v>
      </c>
      <c r="D27" t="str">
        <f>データ!C6</f>
        <v>縦断方向</v>
      </c>
    </row>
    <row r="44" ht="12.75">
      <c r="A44" t="s">
        <v>59</v>
      </c>
    </row>
    <row r="45" ht="12.75">
      <c r="A45" t="s">
        <v>60</v>
      </c>
    </row>
    <row r="46" spans="2:7" ht="15">
      <c r="B46" t="s">
        <v>61</v>
      </c>
      <c r="E46" s="6" t="s">
        <v>123</v>
      </c>
      <c r="F46">
        <f>'入力'!D15</f>
        <v>24</v>
      </c>
      <c r="G46" t="s">
        <v>124</v>
      </c>
    </row>
    <row r="47" spans="2:7" ht="15">
      <c r="B47" t="s">
        <v>62</v>
      </c>
      <c r="E47" s="6" t="s">
        <v>63</v>
      </c>
      <c r="F47">
        <f>'入力'!D23</f>
        <v>8</v>
      </c>
      <c r="G47" t="s">
        <v>124</v>
      </c>
    </row>
    <row r="48" spans="2:7" ht="15">
      <c r="B48" t="s">
        <v>64</v>
      </c>
      <c r="E48" s="6" t="s">
        <v>65</v>
      </c>
      <c r="F48">
        <f>'入力'!D25</f>
        <v>0.39</v>
      </c>
      <c r="G48" t="s">
        <v>124</v>
      </c>
    </row>
    <row r="49" ht="12.75">
      <c r="A49" t="s">
        <v>66</v>
      </c>
    </row>
    <row r="50" spans="2:3" ht="12.75">
      <c r="B50" t="s">
        <v>67</v>
      </c>
      <c r="C50" t="str">
        <f>データ!I6</f>
        <v>SD295A</v>
      </c>
    </row>
    <row r="51" spans="2:3" ht="12.75">
      <c r="B51" t="str">
        <f>'入力'!B17</f>
        <v>主鉄筋径</v>
      </c>
      <c r="C51" t="str">
        <f>データ!L12</f>
        <v>D16</v>
      </c>
    </row>
    <row r="52" spans="2:6" ht="12.75">
      <c r="B52" t="str">
        <f>'入力'!B18</f>
        <v>かぶり</v>
      </c>
      <c r="D52" s="6" t="s">
        <v>68</v>
      </c>
      <c r="E52">
        <f>'入力'!D18</f>
        <v>50</v>
      </c>
      <c r="F52" t="s">
        <v>69</v>
      </c>
    </row>
    <row r="53" spans="2:6" ht="12.75">
      <c r="B53" t="str">
        <f>'入力'!B19</f>
        <v>主鉄筋本数</v>
      </c>
      <c r="D53" s="6" t="s">
        <v>70</v>
      </c>
      <c r="E53">
        <f>'入力'!D19</f>
        <v>40</v>
      </c>
      <c r="F53" t="s">
        <v>71</v>
      </c>
    </row>
    <row r="54" spans="2:6" ht="15">
      <c r="B54" t="s">
        <v>73</v>
      </c>
      <c r="D54" s="6" t="s">
        <v>74</v>
      </c>
      <c r="E54">
        <f>データ!M12*データ!D26</f>
        <v>7944</v>
      </c>
      <c r="F54" t="s">
        <v>125</v>
      </c>
    </row>
    <row r="55" spans="2:7" ht="15">
      <c r="B55" t="s">
        <v>75</v>
      </c>
      <c r="E55" s="6" t="s">
        <v>76</v>
      </c>
      <c r="F55">
        <f>'入力'!D24</f>
        <v>180</v>
      </c>
      <c r="G55" t="s">
        <v>124</v>
      </c>
    </row>
    <row r="85" ht="12.75">
      <c r="A85" t="s">
        <v>77</v>
      </c>
    </row>
    <row r="87" ht="12.75">
      <c r="A87" t="s">
        <v>81</v>
      </c>
    </row>
    <row r="88" spans="2:6" ht="12.75">
      <c r="B88" t="str">
        <f>"ls=(A+B)/2=("&amp;D5&amp;"+"&amp;D6&amp;")/2="</f>
        <v>ls=(A+B)/2=(1.7+1.3)/2=</v>
      </c>
      <c r="E88">
        <f>ROUND((D5+D6)/2,2)</f>
        <v>1.5</v>
      </c>
      <c r="F88" t="s">
        <v>52</v>
      </c>
    </row>
    <row r="90" ht="12.75">
      <c r="A90" t="s">
        <v>82</v>
      </c>
    </row>
    <row r="91" spans="2:7" ht="12.75">
      <c r="B91" t="s">
        <v>78</v>
      </c>
      <c r="C91" t="str">
        <f>"w=γ×t×L=24.5×"&amp;D8&amp;"×"&amp;D7&amp;"="</f>
        <v>w=γ×t×L=24.5×0.2×5=</v>
      </c>
      <c r="F91">
        <f>ROUND(24.5*D8*D7,2)</f>
        <v>24.5</v>
      </c>
      <c r="G91" t="s">
        <v>79</v>
      </c>
    </row>
    <row r="93" spans="2:7" ht="12.75">
      <c r="B93" t="s">
        <v>83</v>
      </c>
      <c r="C93" t="str">
        <f>"R=w×ls/2="&amp;F91&amp;"×"&amp;E88&amp;"/2="</f>
        <v>R=w×ls/2=24.5×1.5/2=</v>
      </c>
      <c r="F93">
        <f>ROUND(F91*E88/2,2)</f>
        <v>18.38</v>
      </c>
      <c r="G93" t="s">
        <v>58</v>
      </c>
    </row>
    <row r="95" ht="12.75">
      <c r="B95" t="s">
        <v>80</v>
      </c>
    </row>
    <row r="96" spans="2:4" ht="12.75">
      <c r="B96" s="6" t="s">
        <v>84</v>
      </c>
      <c r="C96">
        <f>D8/2</f>
        <v>0.1</v>
      </c>
      <c r="D96" t="s">
        <v>52</v>
      </c>
    </row>
    <row r="97" spans="5:7" ht="12.75">
      <c r="E97" s="6" t="str">
        <f>"　　Sd=w(ls-t)/2="&amp;F91&amp;"×("&amp;E88&amp;"-"&amp;D8&amp;")/2="</f>
        <v>　　Sd=w(ls-t)/2=24.5×(1.5-0.2)/2=</v>
      </c>
      <c r="F97">
        <f>ROUND(F91*(E88-D8)/2,2)</f>
        <v>15.93</v>
      </c>
      <c r="G97" t="s">
        <v>58</v>
      </c>
    </row>
    <row r="99" ht="12.75">
      <c r="B99" t="s">
        <v>85</v>
      </c>
    </row>
    <row r="100" spans="5:7" ht="12.75">
      <c r="E100" s="6" t="str">
        <f>"　　Md=1/8×w×ls^2=1/8×"&amp;F91&amp;"×"&amp;E88&amp;"^2="</f>
        <v>　　Md=1/8×w×ls^2=1/8×24.5×1.5^2=</v>
      </c>
      <c r="F100">
        <f>ROUND(1/8*F91*E88^2,2)</f>
        <v>6.89</v>
      </c>
      <c r="G100" t="s">
        <v>86</v>
      </c>
    </row>
    <row r="102" ht="12.75">
      <c r="A102" t="s">
        <v>87</v>
      </c>
    </row>
    <row r="103" ht="12.75">
      <c r="B103" t="s">
        <v>88</v>
      </c>
    </row>
    <row r="104" ht="12.75">
      <c r="B104" t="s">
        <v>139</v>
      </c>
    </row>
    <row r="105" ht="12.75">
      <c r="B105" t="s">
        <v>140</v>
      </c>
    </row>
    <row r="107" spans="2:8" ht="12.75">
      <c r="B107" s="6" t="s">
        <v>56</v>
      </c>
      <c r="C107">
        <f>D25</f>
        <v>0.2</v>
      </c>
      <c r="D107" t="s">
        <v>52</v>
      </c>
      <c r="E107" s="7" t="str">
        <f>IF(C107&lt;G107,"&lt;","&gt;")</f>
        <v>&lt;</v>
      </c>
      <c r="F107" s="6" t="s">
        <v>48</v>
      </c>
      <c r="G107">
        <f>D5</f>
        <v>1.7</v>
      </c>
      <c r="H107" t="s">
        <v>52</v>
      </c>
    </row>
    <row r="108" spans="2:6" ht="12.75">
      <c r="B108" s="6" t="s">
        <v>126</v>
      </c>
      <c r="C108" t="str">
        <f>C107&amp;"+"&amp;D8&amp;"="</f>
        <v>0.2+0.2=</v>
      </c>
      <c r="E108">
        <f>C107+D8</f>
        <v>0.4</v>
      </c>
      <c r="F108" t="s">
        <v>52</v>
      </c>
    </row>
    <row r="109" spans="2:4" ht="12.75">
      <c r="B109" s="6" t="s">
        <v>89</v>
      </c>
      <c r="C109">
        <f>IF(C107&lt;=G107,MIN(C107+D8,D5),D25)</f>
        <v>0.4</v>
      </c>
      <c r="D109" t="s">
        <v>52</v>
      </c>
    </row>
    <row r="111" ht="12.75">
      <c r="B111" t="s">
        <v>91</v>
      </c>
    </row>
    <row r="112" spans="5:7" ht="12.75">
      <c r="E112" s="6" t="str">
        <f>"p=P(1+I)/u'="&amp;D23&amp;"*(1+"&amp;D24&amp;")/"&amp;C109&amp;"="</f>
        <v>p=P(1+I)/u'=50*(1+0.3)/0.4=</v>
      </c>
      <c r="F112">
        <f>ROUND(D23*(1+D24)/C109,2)</f>
        <v>162.5</v>
      </c>
      <c r="G112" t="s">
        <v>79</v>
      </c>
    </row>
    <row r="114" ht="12.75">
      <c r="B114" t="s">
        <v>92</v>
      </c>
    </row>
    <row r="116" spans="5:7" ht="14.25">
      <c r="E116" s="6" t="s">
        <v>93</v>
      </c>
      <c r="F116">
        <f>MIN(D25+D8,D5)</f>
        <v>0.4</v>
      </c>
      <c r="G116" t="s">
        <v>52</v>
      </c>
    </row>
    <row r="117" spans="5:7" ht="14.25">
      <c r="E117" s="6" t="s">
        <v>94</v>
      </c>
      <c r="F117">
        <f>MIN(D26+D8/2,D7)</f>
        <v>0.6</v>
      </c>
      <c r="G117" t="s">
        <v>52</v>
      </c>
    </row>
    <row r="120" ht="12.75">
      <c r="B120" t="s">
        <v>95</v>
      </c>
    </row>
    <row r="122" spans="5:7" ht="14.25">
      <c r="E122" s="6" t="s">
        <v>96</v>
      </c>
      <c r="F122">
        <f>MIN(F117+0.3*E88,D7)</f>
        <v>1.0499999999999998</v>
      </c>
      <c r="G122" t="s">
        <v>52</v>
      </c>
    </row>
    <row r="155" ht="12.75">
      <c r="B155" t="s">
        <v>80</v>
      </c>
    </row>
    <row r="156" spans="3:5" ht="12.75">
      <c r="C156" s="6" t="s">
        <v>84</v>
      </c>
      <c r="D156">
        <f>C96</f>
        <v>0.1</v>
      </c>
      <c r="E156" t="s">
        <v>52</v>
      </c>
    </row>
    <row r="186" spans="2:9" ht="12.75">
      <c r="B186" s="6" t="s">
        <v>97</v>
      </c>
      <c r="C186">
        <f>E88</f>
        <v>1.5</v>
      </c>
      <c r="D186" t="s">
        <v>52</v>
      </c>
      <c r="E186" s="7" t="str">
        <f>IF(C186&lt;=H186,"&lt;","&gt;")</f>
        <v>&gt;</v>
      </c>
      <c r="F186" t="str">
        <f>"u+x="&amp;F116&amp;"+"&amp;D156&amp;"="</f>
        <v>u+x=0.4+0.1=</v>
      </c>
      <c r="H186">
        <f>F116+D156</f>
        <v>0.5</v>
      </c>
      <c r="I186" t="s">
        <v>52</v>
      </c>
    </row>
    <row r="188" spans="2:11" ht="12.75">
      <c r="B188" s="6" t="s">
        <v>105</v>
      </c>
      <c r="C188" t="str">
        <f>(IF(C186&lt;=H186,"(ls-x)^2×p/(2ls)="&amp;K188&amp;"kN","{2(ls-x)-u}u・p/(2ls)="&amp;K188&amp;"kN"))</f>
        <v>{2(ls-x)-u}u・p/(2ls)=52kN</v>
      </c>
      <c r="J188" s="6" t="s">
        <v>105</v>
      </c>
      <c r="K188">
        <f>ROUND(IF(C186&gt;=(F116+D156),(2*(C186-D156)-F116)*F116*F112/(2*C186),(C186-D156)^2*F112/(2*C186)),2)</f>
        <v>52</v>
      </c>
    </row>
    <row r="191" ht="12.75">
      <c r="B191" t="s">
        <v>99</v>
      </c>
    </row>
    <row r="201" spans="7:9" ht="14.25">
      <c r="G201" s="6" t="s">
        <v>141</v>
      </c>
      <c r="H201">
        <f>C186</f>
        <v>1.5</v>
      </c>
      <c r="I201" t="s">
        <v>142</v>
      </c>
    </row>
    <row r="202" spans="7:9" ht="14.25">
      <c r="G202" s="6" t="s">
        <v>143</v>
      </c>
      <c r="H202">
        <f>F116</f>
        <v>0.4</v>
      </c>
      <c r="I202" t="s">
        <v>142</v>
      </c>
    </row>
    <row r="203" ht="14.25">
      <c r="H203" s="7" t="str">
        <f>IF(H201&gt;H202,"ls&gt;u","ls&lt;u")</f>
        <v>ls&gt;u</v>
      </c>
    </row>
    <row r="220" spans="2:11" ht="12.75">
      <c r="B220" s="6" t="s">
        <v>104</v>
      </c>
      <c r="C220" t="str">
        <f>(IF(C186&lt;=H186,"ls^2×p/8="&amp;K220&amp;"kN-m","(2ls-u)u・p/8="&amp;K220&amp;"kN-m"))</f>
        <v>(2ls-u)u・p/8=21.13kN-m</v>
      </c>
      <c r="J220" s="6" t="s">
        <v>104</v>
      </c>
      <c r="K220">
        <f>ROUND(IF(C186&gt;=H186,(2*C186-F116)*F116*F112/8,C186^2/8*F112),2)</f>
        <v>21.13</v>
      </c>
    </row>
    <row r="222" ht="12.75">
      <c r="B222" t="s">
        <v>101</v>
      </c>
    </row>
    <row r="223" spans="10:11" ht="12.75">
      <c r="J223" s="6" t="s">
        <v>106</v>
      </c>
      <c r="K223">
        <f>ROUND(K220*D7/F122,2)</f>
        <v>100.62</v>
      </c>
    </row>
    <row r="224" spans="2:10" ht="12.75">
      <c r="B224" s="8" t="str">
        <f>"　　Ml'=Ml×L/be="&amp;K220&amp;"×"&amp;D7&amp;"/"&amp;F122&amp;"="&amp;K223&amp;"kN-m"</f>
        <v>　　Ml'=Ml×L/be=21.13×5/1.05=100.62kN-m</v>
      </c>
      <c r="J224" s="6"/>
    </row>
    <row r="225" ht="12.75">
      <c r="J225" s="6"/>
    </row>
    <row r="226" ht="12.75">
      <c r="J226" s="6"/>
    </row>
    <row r="227" ht="12.75">
      <c r="J227" s="6"/>
    </row>
    <row r="228" spans="1:10" ht="12.75">
      <c r="A228" t="s">
        <v>102</v>
      </c>
      <c r="J228" s="6"/>
    </row>
    <row r="229" ht="12.75">
      <c r="J229" s="6"/>
    </row>
    <row r="230" spans="2:10" ht="12.75">
      <c r="B230" t="s">
        <v>103</v>
      </c>
      <c r="J230" s="6"/>
    </row>
    <row r="231" spans="2:11" ht="12.75">
      <c r="B231" t="str">
        <f>"　　S=Sd+Sl="&amp;F97&amp;"+"&amp;K188&amp;"="&amp;K231&amp;"kN"</f>
        <v>　　S=Sd+Sl=15.93+52=67.93kN</v>
      </c>
      <c r="J231" s="6" t="s">
        <v>98</v>
      </c>
      <c r="K231">
        <f>F97+K188</f>
        <v>67.93</v>
      </c>
    </row>
    <row r="232" ht="12.75">
      <c r="J232" s="6"/>
    </row>
    <row r="233" spans="2:10" ht="12.75">
      <c r="B233" t="s">
        <v>99</v>
      </c>
      <c r="J233" s="6"/>
    </row>
    <row r="234" spans="2:11" ht="12.75">
      <c r="B234" t="str">
        <f>"　　M=Md+Ml'="&amp;F100&amp;"+"&amp;K223&amp;"="&amp;K234&amp;"kN-m"</f>
        <v>　　M=Md+Ml'=6.89+100.62=107.51kN-m</v>
      </c>
      <c r="J234" s="6" t="s">
        <v>100</v>
      </c>
      <c r="K234">
        <f>F100+K223</f>
        <v>107.51</v>
      </c>
    </row>
    <row r="238" ht="12.75">
      <c r="A238" t="s">
        <v>107</v>
      </c>
    </row>
    <row r="240" spans="2:6" ht="12.75">
      <c r="B240" t="s">
        <v>108</v>
      </c>
      <c r="D240" s="6" t="s">
        <v>50</v>
      </c>
      <c r="E240">
        <f>D7*1000</f>
        <v>5000</v>
      </c>
      <c r="F240" t="s">
        <v>69</v>
      </c>
    </row>
    <row r="241" spans="2:6" ht="12.75">
      <c r="B241" t="s">
        <v>109</v>
      </c>
      <c r="D241" s="6" t="str">
        <f>"d=t-c="&amp;D8*1000&amp;"-"&amp;E52&amp;"="</f>
        <v>d=t-c=200-50=</v>
      </c>
      <c r="E241">
        <f>D8*1000-E52</f>
        <v>150</v>
      </c>
      <c r="F241" t="s">
        <v>69</v>
      </c>
    </row>
    <row r="242" spans="2:7" ht="15">
      <c r="B242" t="s">
        <v>110</v>
      </c>
      <c r="C242" s="6" t="s">
        <v>74</v>
      </c>
      <c r="D242" t="str">
        <f>データ!L12&amp;"×"&amp;データ!D26&amp;"="&amp;データ!M12&amp;"×"&amp;データ!D26&amp;"="</f>
        <v>D16×40=198.6×40=</v>
      </c>
      <c r="F242">
        <f>E54</f>
        <v>7944</v>
      </c>
      <c r="G242" t="s">
        <v>125</v>
      </c>
    </row>
    <row r="243" spans="10:11" ht="14.25">
      <c r="J243" s="6" t="s">
        <v>111</v>
      </c>
      <c r="K243">
        <f>ROUND(15*F242/(E240*E241),3)</f>
        <v>0.159</v>
      </c>
    </row>
    <row r="244" spans="10:11" ht="14.25">
      <c r="J244" s="6" t="s">
        <v>72</v>
      </c>
      <c r="K244">
        <f>ROUND((K243^2+2*K243)^0.5-K243,3)</f>
        <v>0.427</v>
      </c>
    </row>
    <row r="245" spans="10:11" ht="14.25">
      <c r="J245" s="6" t="s">
        <v>112</v>
      </c>
      <c r="K245">
        <f>ROUND(1-K244/3,3)</f>
        <v>0.858</v>
      </c>
    </row>
    <row r="246" spans="10:11" ht="14.25">
      <c r="J246" s="6" t="s">
        <v>113</v>
      </c>
      <c r="K246">
        <f>ROUND(2*K234*1000000/(K244*K245*E240*E241^2),2)</f>
        <v>5.22</v>
      </c>
    </row>
    <row r="247" spans="4:11" ht="14.25">
      <c r="D247" t="str">
        <f>"15×"&amp;F242</f>
        <v>15×7944</v>
      </c>
      <c r="J247" s="6" t="s">
        <v>114</v>
      </c>
      <c r="K247">
        <f>ROUND(K234*1000000/(F242*K245*E241),1)</f>
        <v>105.2</v>
      </c>
    </row>
    <row r="248" spans="4:11" ht="14.25">
      <c r="D248" t="str">
        <f>E240&amp;"×"&amp;E241</f>
        <v>5000×150</v>
      </c>
      <c r="J248" s="6" t="s">
        <v>115</v>
      </c>
      <c r="K248">
        <f>ROUND(K231*1000/(E240*E241),2)</f>
        <v>0.09</v>
      </c>
    </row>
    <row r="250" spans="2:3" ht="12.75">
      <c r="B250" s="6" t="s">
        <v>117</v>
      </c>
      <c r="C250">
        <f>K243</f>
        <v>0.159</v>
      </c>
    </row>
    <row r="253" ht="14.25">
      <c r="E253" s="9" t="str">
        <f>"("&amp;K243&amp;"^2+2×"&amp;K243&amp;")^0.5-"&amp;K243&amp;"="&amp;K244</f>
        <v>(0.159^2+2×0.159)^0.5-0.159=0.427</v>
      </c>
    </row>
    <row r="255" ht="12.75">
      <c r="B255" s="8" t="str">
        <f>"　　 j=1-k/3=1-"&amp;K244&amp;"/3="&amp;K245</f>
        <v>　　 j=1-k/3=1-0.427/3=0.858</v>
      </c>
    </row>
    <row r="259" ht="12.75">
      <c r="B259" t="s">
        <v>119</v>
      </c>
    </row>
    <row r="261" spans="4:6" ht="14.25">
      <c r="D261" s="27" t="str">
        <f>"2×"&amp;K234*1000000</f>
        <v>2×107510000</v>
      </c>
      <c r="E261" s="27"/>
      <c r="F261" s="27"/>
    </row>
    <row r="262" spans="1:8" ht="14.25">
      <c r="A262" s="10"/>
      <c r="B262" s="10"/>
      <c r="C262" s="10"/>
      <c r="D262" s="26" t="str">
        <f>K244&amp;"×"&amp;K245&amp;"×"&amp;E240&amp;"×"&amp;E241&amp;"^2"</f>
        <v>0.427×0.858×5000×150^2</v>
      </c>
      <c r="E262" s="26"/>
      <c r="F262" s="26"/>
      <c r="G262" s="10"/>
      <c r="H262" s="10"/>
    </row>
    <row r="263" spans="1:8" ht="14.25">
      <c r="A263" s="10"/>
      <c r="B263" s="10"/>
      <c r="C263" s="10"/>
      <c r="D263" s="10"/>
      <c r="E263" s="10"/>
      <c r="F263" s="10"/>
      <c r="G263" s="10"/>
      <c r="H263" s="10"/>
    </row>
    <row r="264" spans="1:8" ht="15">
      <c r="A264" s="10"/>
      <c r="B264" s="12" t="s">
        <v>117</v>
      </c>
      <c r="C264" s="10">
        <f>K246</f>
        <v>5.22</v>
      </c>
      <c r="D264" s="10" t="s">
        <v>124</v>
      </c>
      <c r="E264" s="11" t="str">
        <f>IF(C264&lt;=G264,"&lt;","&gt;")</f>
        <v>&lt;</v>
      </c>
      <c r="F264" s="10" t="s">
        <v>118</v>
      </c>
      <c r="G264" s="10">
        <f>'入力'!D23</f>
        <v>8</v>
      </c>
      <c r="H264" s="10" t="s">
        <v>124</v>
      </c>
    </row>
    <row r="265" spans="1:3" ht="12.75">
      <c r="A265" s="10"/>
      <c r="B265" s="10"/>
      <c r="C265" s="10"/>
    </row>
    <row r="266" spans="1:8" ht="12.75">
      <c r="A266" s="10"/>
      <c r="B266" s="10"/>
      <c r="C266" s="10"/>
      <c r="H266" s="7" t="str">
        <f>IF(C264&lt;=G264,"safe","out")</f>
        <v>safe</v>
      </c>
    </row>
    <row r="267" spans="1:8" ht="12.75">
      <c r="A267" s="10"/>
      <c r="B267" s="10"/>
      <c r="C267" s="10"/>
      <c r="D267" s="10"/>
      <c r="E267" s="10"/>
      <c r="F267" s="10"/>
      <c r="G267" s="10"/>
      <c r="H267" s="10"/>
    </row>
    <row r="268" spans="1:8" ht="12.75">
      <c r="A268" s="10"/>
      <c r="B268" s="10" t="s">
        <v>120</v>
      </c>
      <c r="C268" s="10"/>
      <c r="D268" s="10"/>
      <c r="E268" s="10"/>
      <c r="F268" s="10"/>
      <c r="G268" s="10"/>
      <c r="H268" s="10"/>
    </row>
    <row r="269" spans="1:8" ht="14.25">
      <c r="A269" s="10"/>
      <c r="B269" s="10"/>
      <c r="C269" s="10"/>
      <c r="D269" s="10"/>
      <c r="E269" s="10"/>
      <c r="F269" s="10"/>
      <c r="G269" s="10"/>
      <c r="H269" s="10"/>
    </row>
    <row r="270" spans="1:8" ht="14.25">
      <c r="A270" s="10"/>
      <c r="B270" s="10"/>
      <c r="C270" s="10"/>
      <c r="D270" s="26" t="str">
        <f>"   "&amp;K234*1000000</f>
        <v>   107510000</v>
      </c>
      <c r="E270" s="26"/>
      <c r="F270" s="10"/>
      <c r="G270" s="10"/>
      <c r="H270" s="10"/>
    </row>
    <row r="271" spans="1:8" ht="14.25">
      <c r="A271" s="10"/>
      <c r="B271" s="10"/>
      <c r="C271" s="10"/>
      <c r="D271" s="26" t="str">
        <f>F242&amp;"×"&amp;K245&amp;"×"&amp;E241</f>
        <v>7944×0.858×150</v>
      </c>
      <c r="E271" s="26"/>
      <c r="F271" s="10"/>
      <c r="G271" s="10"/>
      <c r="H271" s="10"/>
    </row>
    <row r="272" spans="1:8" ht="14.25">
      <c r="A272" s="10"/>
      <c r="B272" s="10"/>
      <c r="C272" s="10"/>
      <c r="D272" s="10"/>
      <c r="E272" s="10"/>
      <c r="F272" s="10"/>
      <c r="G272" s="10"/>
      <c r="H272" s="10"/>
    </row>
    <row r="273" spans="1:8" ht="15">
      <c r="A273" s="10"/>
      <c r="B273" s="12" t="s">
        <v>117</v>
      </c>
      <c r="C273" s="10">
        <f>K247</f>
        <v>105.2</v>
      </c>
      <c r="D273" s="10" t="s">
        <v>124</v>
      </c>
      <c r="E273" s="11" t="str">
        <f>IF(C273&lt;=G273,"&lt;","&gt;")</f>
        <v>&lt;</v>
      </c>
      <c r="F273" s="10" t="s">
        <v>122</v>
      </c>
      <c r="G273" s="10">
        <f>'入力'!D24</f>
        <v>180</v>
      </c>
      <c r="H273" s="10" t="s">
        <v>124</v>
      </c>
    </row>
    <row r="274" spans="1:3" ht="12.75">
      <c r="A274" s="10"/>
      <c r="B274" s="10"/>
      <c r="C274" s="10"/>
    </row>
    <row r="275" spans="1:8" ht="12.75">
      <c r="A275" s="10"/>
      <c r="B275" s="10"/>
      <c r="C275" s="10"/>
      <c r="H275" s="7" t="str">
        <f>IF(C273&lt;=G273,"safe","out")</f>
        <v>safe</v>
      </c>
    </row>
    <row r="276" spans="1:8" ht="12.75">
      <c r="A276" s="10"/>
      <c r="B276" s="10"/>
      <c r="C276" s="11"/>
      <c r="D276" s="10"/>
      <c r="E276" s="10"/>
      <c r="F276" s="10"/>
      <c r="G276" s="10"/>
      <c r="H276" s="10"/>
    </row>
    <row r="277" spans="1:8" ht="12.75">
      <c r="A277" s="10"/>
      <c r="B277" s="10" t="s">
        <v>121</v>
      </c>
      <c r="C277" s="11"/>
      <c r="D277" s="10"/>
      <c r="E277" s="10"/>
      <c r="F277" s="10"/>
      <c r="G277" s="10"/>
      <c r="H277" s="10"/>
    </row>
    <row r="278" spans="1:8" ht="14.25">
      <c r="A278" s="10"/>
      <c r="B278" s="10"/>
      <c r="C278" s="10"/>
      <c r="D278" s="10"/>
      <c r="E278" s="10"/>
      <c r="F278" s="10"/>
      <c r="G278" s="10"/>
      <c r="H278" s="10"/>
    </row>
    <row r="279" spans="1:8" ht="14.25">
      <c r="A279" s="10"/>
      <c r="B279" s="12"/>
      <c r="C279" s="11"/>
      <c r="D279" s="11">
        <f>K231*1000</f>
        <v>67930</v>
      </c>
      <c r="E279" s="10"/>
      <c r="F279" s="10"/>
      <c r="G279" s="10"/>
      <c r="H279" s="10"/>
    </row>
    <row r="280" spans="1:8" ht="14.25">
      <c r="A280" s="10"/>
      <c r="B280" s="12"/>
      <c r="C280" s="11"/>
      <c r="D280" s="11" t="str">
        <f>E240&amp;"×"&amp;E241</f>
        <v>5000×150</v>
      </c>
      <c r="E280" s="10"/>
      <c r="F280" s="10"/>
      <c r="G280" s="10"/>
      <c r="H280" s="10"/>
    </row>
    <row r="281" spans="2:8" ht="14.25">
      <c r="B281" s="10"/>
      <c r="C281" s="10"/>
      <c r="D281" s="10"/>
      <c r="E281" s="10"/>
      <c r="F281" s="10"/>
      <c r="G281" s="10"/>
      <c r="H281" s="10"/>
    </row>
    <row r="282" spans="2:8" ht="15">
      <c r="B282" s="12" t="s">
        <v>117</v>
      </c>
      <c r="C282" s="10">
        <f>K248</f>
        <v>0.09</v>
      </c>
      <c r="D282" s="10" t="s">
        <v>124</v>
      </c>
      <c r="E282" s="11" t="str">
        <f>IF(C282&lt;=G282,"&lt;","&gt;")</f>
        <v>&lt;</v>
      </c>
      <c r="F282" s="10" t="s">
        <v>116</v>
      </c>
      <c r="G282" s="10">
        <f>'入力'!D25</f>
        <v>0.39</v>
      </c>
      <c r="H282" s="10" t="s">
        <v>124</v>
      </c>
    </row>
    <row r="284" ht="12.75">
      <c r="H284" s="7" t="str">
        <f>IF(C282&lt;=G282,"safe","out")</f>
        <v>safe</v>
      </c>
    </row>
  </sheetData>
  <sheetProtection sheet="1" objects="1" scenarios="1"/>
  <mergeCells count="4">
    <mergeCell ref="D270:E270"/>
    <mergeCell ref="D271:E271"/>
    <mergeCell ref="D262:F262"/>
    <mergeCell ref="D261:F261"/>
  </mergeCells>
  <printOptions/>
  <pageMargins left="0.75" right="0.75" top="1" bottom="1" header="0.512" footer="0.512"/>
  <pageSetup horizontalDpi="600" verticalDpi="600" orientation="portrait" paperSize="9" r:id="rId3"/>
  <headerFooter alignWithMargins="0">
    <oddHeader>&amp;C&amp;9側溝蓋版(自動車横断走行)の設計計算</oddHeader>
    <oddFooter>&amp;C&amp;P</oddFooter>
  </headerFooter>
  <rowBreaks count="6" manualBreakCount="6">
    <brk id="43" max="255" man="1"/>
    <brk id="84" max="255" man="1"/>
    <brk id="119" max="255" man="1"/>
    <brk id="154" max="255" man="1"/>
    <brk id="190" max="255" man="1"/>
    <brk id="23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284"/>
  <sheetViews>
    <sheetView zoomScalePageLayoutView="0" workbookViewId="0" topLeftCell="A262">
      <selection activeCell="I277" sqref="I277"/>
    </sheetView>
  </sheetViews>
  <sheetFormatPr defaultColWidth="8.796875" defaultRowHeight="14.25"/>
  <sheetData>
    <row r="1" spans="1:9" ht="12.75">
      <c r="A1" s="13"/>
      <c r="B1" s="13"/>
      <c r="C1" s="13"/>
      <c r="D1" s="13"/>
      <c r="E1" s="13"/>
      <c r="F1" s="13"/>
      <c r="G1" s="13"/>
      <c r="H1" s="13"/>
      <c r="I1" s="14"/>
    </row>
    <row r="2" ht="12.75">
      <c r="A2" t="s">
        <v>46</v>
      </c>
    </row>
    <row r="4" ht="12.75">
      <c r="A4" t="s">
        <v>47</v>
      </c>
    </row>
    <row r="5" spans="2:5" ht="12.75">
      <c r="B5" t="str">
        <f>'入力'!B4</f>
        <v>全幅</v>
      </c>
      <c r="C5" s="6" t="s">
        <v>48</v>
      </c>
      <c r="D5">
        <f>'入力'!D4</f>
        <v>1.7</v>
      </c>
      <c r="E5" t="s">
        <v>52</v>
      </c>
    </row>
    <row r="6" spans="2:5" ht="12.75">
      <c r="B6" t="str">
        <f>'入力'!B5</f>
        <v>側溝内幅</v>
      </c>
      <c r="C6" s="6" t="s">
        <v>49</v>
      </c>
      <c r="D6">
        <f>'入力'!D5</f>
        <v>1.3</v>
      </c>
      <c r="E6" t="s">
        <v>52</v>
      </c>
    </row>
    <row r="7" spans="2:5" ht="12.75">
      <c r="B7" t="str">
        <f>'入力'!B6</f>
        <v>長さ</v>
      </c>
      <c r="C7" s="6" t="s">
        <v>50</v>
      </c>
      <c r="D7">
        <f>'入力'!D6</f>
        <v>5</v>
      </c>
      <c r="E7" t="s">
        <v>52</v>
      </c>
    </row>
    <row r="8" spans="2:5" ht="12.75">
      <c r="B8" t="str">
        <f>'入力'!B7</f>
        <v>厚さ</v>
      </c>
      <c r="C8" s="6" t="s">
        <v>51</v>
      </c>
      <c r="D8">
        <f>'入力'!D7</f>
        <v>0.2</v>
      </c>
      <c r="E8" t="s">
        <v>52</v>
      </c>
    </row>
    <row r="9" ht="12.75">
      <c r="C9" s="6"/>
    </row>
    <row r="10" ht="14.25">
      <c r="C10" s="6"/>
    </row>
    <row r="11" ht="14.25">
      <c r="C11" s="6"/>
    </row>
    <row r="12" ht="14.25">
      <c r="C12" s="6"/>
    </row>
    <row r="13" ht="14.25">
      <c r="C13" s="6"/>
    </row>
    <row r="14" ht="14.25">
      <c r="C14" s="6"/>
    </row>
    <row r="15" ht="14.25">
      <c r="C15" s="6"/>
    </row>
    <row r="16" ht="14.25">
      <c r="C16" s="6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2.75">
      <c r="C21" s="6"/>
    </row>
    <row r="22" ht="12.75">
      <c r="A22" t="s">
        <v>53</v>
      </c>
    </row>
    <row r="23" spans="2:5" ht="12.75">
      <c r="B23" t="str">
        <f>'入力'!B9</f>
        <v>一輪荷重</v>
      </c>
      <c r="C23" s="6" t="s">
        <v>54</v>
      </c>
      <c r="D23">
        <f>'入力'!D9</f>
        <v>50</v>
      </c>
      <c r="E23" t="s">
        <v>58</v>
      </c>
    </row>
    <row r="24" spans="2:4" ht="12.75">
      <c r="B24" t="str">
        <f>'入力'!B10</f>
        <v>衝撃係数</v>
      </c>
      <c r="C24" s="6" t="s">
        <v>55</v>
      </c>
      <c r="D24">
        <f>'入力'!D10</f>
        <v>0.3</v>
      </c>
    </row>
    <row r="25" spans="2:5" ht="12.75">
      <c r="B25" t="str">
        <f>'入力'!B11</f>
        <v>設置幅</v>
      </c>
      <c r="C25" s="6" t="s">
        <v>56</v>
      </c>
      <c r="D25">
        <f>'入力'!D11</f>
        <v>0.2</v>
      </c>
      <c r="E25" t="s">
        <v>52</v>
      </c>
    </row>
    <row r="26" spans="2:5" ht="12.75">
      <c r="B26" t="str">
        <f>'入力'!B12</f>
        <v>設置長</v>
      </c>
      <c r="C26" s="6" t="s">
        <v>57</v>
      </c>
      <c r="D26">
        <f>'入力'!D12</f>
        <v>0.5</v>
      </c>
      <c r="E26" t="s">
        <v>52</v>
      </c>
    </row>
    <row r="27" spans="2:4" ht="12.75">
      <c r="B27" t="str">
        <f>'入力'!B13</f>
        <v>走行方向</v>
      </c>
      <c r="D27" t="str">
        <f>データ!C6</f>
        <v>縦断方向</v>
      </c>
    </row>
    <row r="44" ht="12.75">
      <c r="A44" t="s">
        <v>59</v>
      </c>
    </row>
    <row r="45" ht="12.75">
      <c r="A45" t="s">
        <v>60</v>
      </c>
    </row>
    <row r="46" spans="2:7" ht="15">
      <c r="B46" t="s">
        <v>61</v>
      </c>
      <c r="E46" s="6" t="s">
        <v>123</v>
      </c>
      <c r="F46">
        <f>'入力'!D15</f>
        <v>24</v>
      </c>
      <c r="G46" t="s">
        <v>124</v>
      </c>
    </row>
    <row r="47" spans="2:7" ht="15">
      <c r="B47" t="s">
        <v>62</v>
      </c>
      <c r="E47" s="6" t="s">
        <v>63</v>
      </c>
      <c r="F47">
        <f>'入力'!D23</f>
        <v>8</v>
      </c>
      <c r="G47" t="s">
        <v>124</v>
      </c>
    </row>
    <row r="48" spans="2:7" ht="15">
      <c r="B48" t="s">
        <v>64</v>
      </c>
      <c r="E48" s="6" t="s">
        <v>65</v>
      </c>
      <c r="F48">
        <f>'入力'!D25</f>
        <v>0.39</v>
      </c>
      <c r="G48" t="s">
        <v>124</v>
      </c>
    </row>
    <row r="49" ht="12.75">
      <c r="A49" t="s">
        <v>66</v>
      </c>
    </row>
    <row r="50" spans="2:3" ht="12.75">
      <c r="B50" t="s">
        <v>67</v>
      </c>
      <c r="C50" t="str">
        <f>データ!I6</f>
        <v>SD295A</v>
      </c>
    </row>
    <row r="51" spans="2:3" ht="12.75">
      <c r="B51" t="str">
        <f>'入力'!B17</f>
        <v>主鉄筋径</v>
      </c>
      <c r="C51" t="str">
        <f>データ!L12</f>
        <v>D16</v>
      </c>
    </row>
    <row r="52" spans="2:6" ht="12.75">
      <c r="B52" t="str">
        <f>'入力'!B18</f>
        <v>かぶり</v>
      </c>
      <c r="D52" s="6" t="s">
        <v>68</v>
      </c>
      <c r="E52">
        <f>'入力'!D18</f>
        <v>50</v>
      </c>
      <c r="F52" t="s">
        <v>69</v>
      </c>
    </row>
    <row r="53" spans="2:6" ht="12.75">
      <c r="B53" t="str">
        <f>'入力'!B19</f>
        <v>主鉄筋本数</v>
      </c>
      <c r="D53" s="6" t="s">
        <v>70</v>
      </c>
      <c r="E53">
        <f>'入力'!D19</f>
        <v>40</v>
      </c>
      <c r="F53" t="s">
        <v>71</v>
      </c>
    </row>
    <row r="54" spans="2:6" ht="15">
      <c r="B54" t="s">
        <v>73</v>
      </c>
      <c r="D54" s="6" t="s">
        <v>74</v>
      </c>
      <c r="E54">
        <f>データ!M12*データ!D26</f>
        <v>7944</v>
      </c>
      <c r="F54" t="s">
        <v>125</v>
      </c>
    </row>
    <row r="55" spans="2:7" ht="15">
      <c r="B55" t="s">
        <v>75</v>
      </c>
      <c r="E55" s="6" t="s">
        <v>76</v>
      </c>
      <c r="F55">
        <f>'入力'!D24</f>
        <v>180</v>
      </c>
      <c r="G55" t="s">
        <v>124</v>
      </c>
    </row>
    <row r="85" ht="12.75">
      <c r="A85" t="s">
        <v>77</v>
      </c>
    </row>
    <row r="87" ht="12.75">
      <c r="A87" t="s">
        <v>81</v>
      </c>
    </row>
    <row r="88" spans="2:12" ht="12.75">
      <c r="B88" t="str">
        <f>"ls=(A+B)/2=("&amp;D5&amp;"+"&amp;D6&amp;")/2="&amp;K88&amp;L88</f>
        <v>ls=(A+B)/2=(1.7+1.3)/2=1.5m</v>
      </c>
      <c r="K88">
        <f>ROUND((D5+D6)/2,2)</f>
        <v>1.5</v>
      </c>
      <c r="L88" t="s">
        <v>52</v>
      </c>
    </row>
    <row r="90" ht="12.75">
      <c r="A90" t="s">
        <v>82</v>
      </c>
    </row>
    <row r="91" spans="2:12" ht="12.75">
      <c r="B91" t="s">
        <v>78</v>
      </c>
      <c r="D91" s="8" t="str">
        <f>"w=γ×t×L=24.5×"&amp;D8&amp;"×"&amp;D7&amp;"="&amp;K91&amp;L91</f>
        <v>w=γ×t×L=24.5×0.2×5=24.5kN/m</v>
      </c>
      <c r="K91">
        <f>ROUND(24.5*D8*D7,2)</f>
        <v>24.5</v>
      </c>
      <c r="L91" t="s">
        <v>79</v>
      </c>
    </row>
    <row r="93" spans="2:12" ht="12.75">
      <c r="B93" t="s">
        <v>83</v>
      </c>
      <c r="D93" s="8" t="str">
        <f>"R=w×ls/2="&amp;K91&amp;"×"&amp;K88&amp;"/2="&amp;K93&amp;L93</f>
        <v>R=w×ls/2=24.5×1.5/2=18.38kN</v>
      </c>
      <c r="K93">
        <f>ROUND(K91*K88/2,2)</f>
        <v>18.38</v>
      </c>
      <c r="L93" t="s">
        <v>58</v>
      </c>
    </row>
    <row r="95" ht="12.75">
      <c r="B95" t="s">
        <v>80</v>
      </c>
    </row>
    <row r="96" spans="2:4" ht="12.75">
      <c r="B96" s="6" t="s">
        <v>84</v>
      </c>
      <c r="C96">
        <f>D8/2</f>
        <v>0.1</v>
      </c>
      <c r="D96" t="s">
        <v>52</v>
      </c>
    </row>
    <row r="97" spans="4:12" ht="12.75">
      <c r="D97" s="8" t="str">
        <f>"Sd=w(ls-t)/2="&amp;K91&amp;"×("&amp;K88&amp;"-"&amp;D8&amp;")/2="&amp;K97&amp;L97</f>
        <v>Sd=w(ls-t)/2=24.5×(1.5-0.2)/2=15.93kN</v>
      </c>
      <c r="K97">
        <f>ROUND(K91*(K88-D8)/2,2)</f>
        <v>15.93</v>
      </c>
      <c r="L97" t="s">
        <v>58</v>
      </c>
    </row>
    <row r="99" ht="12.75">
      <c r="B99" t="s">
        <v>85</v>
      </c>
    </row>
    <row r="100" spans="4:12" ht="12.75">
      <c r="D100" s="8" t="str">
        <f>"Md=1/8×w×ls^2=1/8×"&amp;K91&amp;"×"&amp;K88&amp;"^2="&amp;K100&amp;L100</f>
        <v>Md=1/8×w×ls^2=1/8×24.5×1.5^2=6.89kN-m</v>
      </c>
      <c r="K100">
        <f>ROUND(1/8*K91*K88^2,2)</f>
        <v>6.89</v>
      </c>
      <c r="L100" t="s">
        <v>86</v>
      </c>
    </row>
    <row r="102" ht="12.75">
      <c r="A102" t="s">
        <v>87</v>
      </c>
    </row>
    <row r="103" ht="12.75">
      <c r="B103" t="s">
        <v>88</v>
      </c>
    </row>
    <row r="104" ht="12.75">
      <c r="B104" t="s">
        <v>144</v>
      </c>
    </row>
    <row r="105" ht="12.75">
      <c r="B105" t="s">
        <v>145</v>
      </c>
    </row>
    <row r="107" spans="3:17" ht="12.75">
      <c r="C107" t="str">
        <f>"b="&amp;L107&amp;M107&amp;N107&amp;O107&amp;P107&amp;Q107</f>
        <v>b=0.5m&lt;A=1.7m</v>
      </c>
      <c r="K107" s="6" t="s">
        <v>57</v>
      </c>
      <c r="L107">
        <f>D26</f>
        <v>0.5</v>
      </c>
      <c r="M107" t="s">
        <v>52</v>
      </c>
      <c r="N107" s="7" t="str">
        <f>IF(L107&lt;P107,"&lt;","&gt;")</f>
        <v>&lt;</v>
      </c>
      <c r="O107" s="6" t="s">
        <v>48</v>
      </c>
      <c r="P107">
        <f>D5</f>
        <v>1.7</v>
      </c>
      <c r="Q107" t="s">
        <v>52</v>
      </c>
    </row>
    <row r="108" ht="12.75">
      <c r="C108" t="str">
        <f>K109&amp;L109&amp;M109&amp;N109</f>
        <v>b+t=0.5+0.2=0.7m</v>
      </c>
    </row>
    <row r="109" spans="3:14" ht="12.75">
      <c r="C109" t="str">
        <f>K110&amp;L110&amp;M110</f>
        <v>u'=0.7m</v>
      </c>
      <c r="K109" s="6" t="s">
        <v>90</v>
      </c>
      <c r="L109" t="str">
        <f>L107&amp;"+"&amp;D8&amp;"="</f>
        <v>0.5+0.2=</v>
      </c>
      <c r="M109">
        <f>D26+D8</f>
        <v>0.7</v>
      </c>
      <c r="N109" t="s">
        <v>52</v>
      </c>
    </row>
    <row r="110" spans="11:13" ht="12.75">
      <c r="K110" s="6" t="s">
        <v>89</v>
      </c>
      <c r="L110">
        <f>IF(L107&lt;=P107,MIN(D26+D8,D5),D26)</f>
        <v>0.7</v>
      </c>
      <c r="M110" t="s">
        <v>52</v>
      </c>
    </row>
    <row r="111" ht="12.75">
      <c r="B111" t="s">
        <v>91</v>
      </c>
    </row>
    <row r="112" spans="3:12" ht="12.75">
      <c r="C112" s="8" t="str">
        <f>"p=P(1+I)/u'="&amp;D23&amp;"*(1+"&amp;D24&amp;")/"&amp;L110&amp;"="&amp;K112&amp;L112</f>
        <v>p=P(1+I)/u'=50*(1+0.3)/0.7=92.86kN/m</v>
      </c>
      <c r="K112">
        <f>ROUND(D23*(1+D24)/L110,2)</f>
        <v>92.86</v>
      </c>
      <c r="L112" t="s">
        <v>79</v>
      </c>
    </row>
    <row r="114" ht="12.75">
      <c r="B114" t="s">
        <v>92</v>
      </c>
    </row>
    <row r="116" spans="5:7" ht="14.25">
      <c r="E116" s="6" t="s">
        <v>93</v>
      </c>
      <c r="F116">
        <f>MIN(D26+D8,D5)</f>
        <v>0.7</v>
      </c>
      <c r="G116" t="s">
        <v>52</v>
      </c>
    </row>
    <row r="117" spans="5:7" ht="14.25">
      <c r="E117" s="6" t="s">
        <v>94</v>
      </c>
      <c r="F117">
        <f>MIN(D25+D8/2,D7)</f>
        <v>0.30000000000000004</v>
      </c>
      <c r="G117" t="s">
        <v>52</v>
      </c>
    </row>
    <row r="120" ht="12.75">
      <c r="B120" t="s">
        <v>95</v>
      </c>
    </row>
    <row r="122" spans="5:7" ht="14.25">
      <c r="E122" s="6" t="s">
        <v>96</v>
      </c>
      <c r="F122">
        <f>MIN(F117+0.3*K88,D7)</f>
        <v>0.75</v>
      </c>
      <c r="G122" t="s">
        <v>52</v>
      </c>
    </row>
    <row r="155" ht="12.75">
      <c r="B155" t="s">
        <v>80</v>
      </c>
    </row>
    <row r="156" spans="3:5" ht="12.75">
      <c r="C156" s="6" t="s">
        <v>84</v>
      </c>
      <c r="D156">
        <f>C96</f>
        <v>0.1</v>
      </c>
      <c r="E156" t="s">
        <v>52</v>
      </c>
    </row>
    <row r="186" spans="2:9" ht="12.75">
      <c r="B186" s="6" t="s">
        <v>97</v>
      </c>
      <c r="C186">
        <f>K88</f>
        <v>1.5</v>
      </c>
      <c r="D186" t="s">
        <v>52</v>
      </c>
      <c r="E186" s="7" t="str">
        <f>IF(C186&lt;=H186,"&lt;","&gt;")</f>
        <v>&gt;</v>
      </c>
      <c r="F186" t="str">
        <f>"u+x="&amp;F116&amp;"+"&amp;D156&amp;"="</f>
        <v>u+x=0.7+0.1=</v>
      </c>
      <c r="H186">
        <f>F116+D156</f>
        <v>0.7999999999999999</v>
      </c>
      <c r="I186" t="s">
        <v>52</v>
      </c>
    </row>
    <row r="188" spans="2:11" ht="12.75">
      <c r="B188" s="6" t="s">
        <v>105</v>
      </c>
      <c r="C188" t="str">
        <f>(IF(C186&lt;=H186,"(ls-x)^2×p/(2ls)="&amp;K188&amp;"kN","{2(ls-x)-u}u・p/(2ls)="&amp;K188&amp;"kN"))</f>
        <v>{2(ls-x)-u}u・p/(2ls)=45.5kN</v>
      </c>
      <c r="J188" s="6" t="s">
        <v>105</v>
      </c>
      <c r="K188">
        <f>ROUND(IF(C186&gt;=(F116+D156),(2*(C186-D156)-F116)*F116*K112/(2*C186),(C186-D156)^2*K112/(2*C186)),2)</f>
        <v>45.5</v>
      </c>
    </row>
    <row r="191" ht="12.75">
      <c r="B191" t="s">
        <v>99</v>
      </c>
    </row>
    <row r="220" spans="2:11" ht="12.75">
      <c r="B220" s="6" t="s">
        <v>104</v>
      </c>
      <c r="C220" t="str">
        <f>(IF(C186&lt;=H186,"ls^2×p/8="&amp;K220&amp;"kN-m","(2ls-u)u・p/8="&amp;K220&amp;"kN-m"))</f>
        <v>(2ls-u)u・p/8=18.69kN-m</v>
      </c>
      <c r="J220" s="6" t="s">
        <v>104</v>
      </c>
      <c r="K220">
        <f>ROUND(IF(C186&gt;=H186,(2*C186-F116)*F116*K112/8,C186^2/8*K112),2)</f>
        <v>18.69</v>
      </c>
    </row>
    <row r="222" ht="12.75">
      <c r="B222" t="s">
        <v>101</v>
      </c>
    </row>
    <row r="223" spans="10:11" ht="12.75">
      <c r="J223" s="6" t="s">
        <v>106</v>
      </c>
      <c r="K223">
        <f>ROUND(K220*D7/F122,2)</f>
        <v>124.6</v>
      </c>
    </row>
    <row r="224" spans="2:10" ht="12.75">
      <c r="B224" s="8" t="str">
        <f>"　　Ml'=Ml×L/be="&amp;K220&amp;"×"&amp;D7&amp;"/"&amp;F122&amp;"="&amp;K223&amp;"kN-m"</f>
        <v>　　Ml'=Ml×L/be=18.69×5/0.75=124.6kN-m</v>
      </c>
      <c r="J224" s="6"/>
    </row>
    <row r="225" ht="12.75">
      <c r="J225" s="6"/>
    </row>
    <row r="226" ht="12.75">
      <c r="J226" s="6"/>
    </row>
    <row r="227" ht="12.75">
      <c r="J227" s="6"/>
    </row>
    <row r="228" spans="1:10" ht="12.75">
      <c r="A228" t="s">
        <v>102</v>
      </c>
      <c r="J228" s="6"/>
    </row>
    <row r="229" ht="12.75">
      <c r="J229" s="6"/>
    </row>
    <row r="230" spans="2:10" ht="12.75">
      <c r="B230" t="s">
        <v>103</v>
      </c>
      <c r="J230" s="6"/>
    </row>
    <row r="231" spans="2:11" ht="12.75">
      <c r="B231" t="str">
        <f>"　　S=Sd+Sl="&amp;K97&amp;"+"&amp;K188&amp;"="&amp;K231&amp;"kN"</f>
        <v>　　S=Sd+Sl=15.93+45.5=61.43kN</v>
      </c>
      <c r="J231" s="6" t="s">
        <v>98</v>
      </c>
      <c r="K231">
        <f>K97+K188</f>
        <v>61.43</v>
      </c>
    </row>
    <row r="232" ht="12.75">
      <c r="J232" s="6"/>
    </row>
    <row r="233" spans="2:10" ht="12.75">
      <c r="B233" t="s">
        <v>99</v>
      </c>
      <c r="J233" s="6"/>
    </row>
    <row r="234" spans="2:11" ht="12.75">
      <c r="B234" t="str">
        <f>"　　M=Md+Ml'="&amp;K100&amp;"+"&amp;K223&amp;"="&amp;K234&amp;"kN-m"</f>
        <v>　　M=Md+Ml'=6.89+124.6=131.49kN-m</v>
      </c>
      <c r="J234" s="6" t="s">
        <v>100</v>
      </c>
      <c r="K234">
        <f>K100+K223</f>
        <v>131.48999999999998</v>
      </c>
    </row>
    <row r="238" ht="12.75">
      <c r="A238" t="s">
        <v>107</v>
      </c>
    </row>
    <row r="240" spans="2:6" ht="12.75">
      <c r="B240" t="s">
        <v>108</v>
      </c>
      <c r="D240" s="6" t="s">
        <v>50</v>
      </c>
      <c r="E240">
        <f>D7*1000</f>
        <v>5000</v>
      </c>
      <c r="F240" t="s">
        <v>69</v>
      </c>
    </row>
    <row r="241" spans="2:6" ht="12.75">
      <c r="B241" t="s">
        <v>109</v>
      </c>
      <c r="D241" s="6" t="str">
        <f>"d=t-c="&amp;D8*1000&amp;"-"&amp;E52&amp;"="</f>
        <v>d=t-c=200-50=</v>
      </c>
      <c r="E241">
        <f>D8*1000-E52</f>
        <v>150</v>
      </c>
      <c r="F241" t="s">
        <v>69</v>
      </c>
    </row>
    <row r="242" spans="2:7" ht="15">
      <c r="B242" t="s">
        <v>110</v>
      </c>
      <c r="C242" s="6" t="s">
        <v>74</v>
      </c>
      <c r="D242" t="str">
        <f>データ!L12&amp;"×"&amp;データ!D26&amp;"="&amp;データ!M12&amp;"×"&amp;データ!D26&amp;"="</f>
        <v>D16×40=198.6×40=</v>
      </c>
      <c r="F242">
        <f>E54</f>
        <v>7944</v>
      </c>
      <c r="G242" t="s">
        <v>125</v>
      </c>
    </row>
    <row r="243" spans="10:11" ht="14.25">
      <c r="J243" s="6" t="s">
        <v>111</v>
      </c>
      <c r="K243">
        <f>ROUND(15*F242/(E240*E241),3)</f>
        <v>0.159</v>
      </c>
    </row>
    <row r="244" spans="10:11" ht="14.25">
      <c r="J244" s="6" t="s">
        <v>72</v>
      </c>
      <c r="K244">
        <f>ROUND((K243^2+2*K243)^0.5-K243,3)</f>
        <v>0.427</v>
      </c>
    </row>
    <row r="245" spans="10:11" ht="14.25">
      <c r="J245" s="6" t="s">
        <v>112</v>
      </c>
      <c r="K245">
        <f>ROUND(1-K244/3,3)</f>
        <v>0.858</v>
      </c>
    </row>
    <row r="246" spans="10:11" ht="14.25">
      <c r="J246" s="6" t="s">
        <v>113</v>
      </c>
      <c r="K246">
        <f>ROUND(2*K234*1000000/(K244*K245*E240*E241^2),2)</f>
        <v>6.38</v>
      </c>
    </row>
    <row r="247" spans="4:11" ht="14.25">
      <c r="D247" t="str">
        <f>"15×"&amp;F242</f>
        <v>15×7944</v>
      </c>
      <c r="J247" s="6" t="s">
        <v>114</v>
      </c>
      <c r="K247">
        <f>ROUND(K234*1000000/(F242*K245*E241),1)</f>
        <v>128.6</v>
      </c>
    </row>
    <row r="248" spans="4:11" ht="14.25">
      <c r="D248" t="str">
        <f>E240&amp;"×"&amp;E241</f>
        <v>5000×150</v>
      </c>
      <c r="J248" s="6" t="s">
        <v>115</v>
      </c>
      <c r="K248">
        <f>ROUND(K231*1000/(E240*E241),2)</f>
        <v>0.08</v>
      </c>
    </row>
    <row r="250" spans="2:3" ht="12.75">
      <c r="B250" s="6" t="s">
        <v>117</v>
      </c>
      <c r="C250">
        <f>K243</f>
        <v>0.159</v>
      </c>
    </row>
    <row r="253" ht="14.25">
      <c r="E253" s="9" t="str">
        <f>"("&amp;K243&amp;"^2+2×"&amp;K243&amp;")^0.5-"&amp;K243&amp;"="&amp;K244</f>
        <v>(0.159^2+2×0.159)^0.5-0.159=0.427</v>
      </c>
    </row>
    <row r="255" ht="12.75">
      <c r="B255" s="8" t="str">
        <f>"　　 j=1-k/3=1-"&amp;K244&amp;"/3="&amp;K245</f>
        <v>　　 j=1-k/3=1-0.427/3=0.858</v>
      </c>
    </row>
    <row r="259" ht="12.75">
      <c r="B259" t="s">
        <v>119</v>
      </c>
    </row>
    <row r="261" ht="14.25">
      <c r="E261" t="str">
        <f>"2×"&amp;K234*1000000</f>
        <v>2×131490000</v>
      </c>
    </row>
    <row r="262" spans="1:8" ht="14.25">
      <c r="A262" s="10"/>
      <c r="B262" s="10"/>
      <c r="C262" s="10"/>
      <c r="D262" s="10" t="str">
        <f>K244&amp;"×"&amp;K245&amp;"×"&amp;E240&amp;"×"&amp;E241&amp;"^2"</f>
        <v>0.427×0.858×5000×150^2</v>
      </c>
      <c r="E262" s="10"/>
      <c r="F262" s="10"/>
      <c r="G262" s="10"/>
      <c r="H262" s="10"/>
    </row>
    <row r="263" spans="1:8" ht="14.25">
      <c r="A263" s="10"/>
      <c r="B263" s="10"/>
      <c r="C263" s="10"/>
      <c r="D263" s="10"/>
      <c r="E263" s="10"/>
      <c r="F263" s="10"/>
      <c r="G263" s="10"/>
      <c r="H263" s="10"/>
    </row>
    <row r="264" spans="1:8" ht="15">
      <c r="A264" s="10"/>
      <c r="B264" s="12" t="s">
        <v>117</v>
      </c>
      <c r="C264" s="10">
        <f>K246</f>
        <v>6.38</v>
      </c>
      <c r="D264" s="10" t="s">
        <v>124</v>
      </c>
      <c r="E264" s="11" t="str">
        <f>IF(C264&lt;=G264,"&lt;","&gt;")</f>
        <v>&lt;</v>
      </c>
      <c r="F264" s="10" t="s">
        <v>118</v>
      </c>
      <c r="G264" s="10">
        <f>'入力'!D23</f>
        <v>8</v>
      </c>
      <c r="H264" s="10" t="s">
        <v>124</v>
      </c>
    </row>
    <row r="265" spans="1:3" ht="12.75">
      <c r="A265" s="10"/>
      <c r="B265" s="10"/>
      <c r="C265" s="10"/>
    </row>
    <row r="266" spans="1:8" ht="12.75">
      <c r="A266" s="10"/>
      <c r="B266" s="10"/>
      <c r="C266" s="10"/>
      <c r="H266" s="7" t="str">
        <f>IF(C264&lt;=G264,"safe","out")</f>
        <v>safe</v>
      </c>
    </row>
    <row r="267" spans="1:8" ht="12.75">
      <c r="A267" s="10"/>
      <c r="B267" s="10"/>
      <c r="C267" s="10"/>
      <c r="D267" s="10"/>
      <c r="E267" s="10"/>
      <c r="F267" s="10"/>
      <c r="G267" s="10"/>
      <c r="H267" s="10"/>
    </row>
    <row r="268" spans="1:8" ht="12.75">
      <c r="A268" s="10"/>
      <c r="B268" s="10" t="s">
        <v>120</v>
      </c>
      <c r="C268" s="10"/>
      <c r="D268" s="10"/>
      <c r="E268" s="10"/>
      <c r="F268" s="10"/>
      <c r="G268" s="10"/>
      <c r="H268" s="10"/>
    </row>
    <row r="269" spans="1:8" ht="14.25">
      <c r="A269" s="10"/>
      <c r="B269" s="10"/>
      <c r="C269" s="10"/>
      <c r="D269" s="10"/>
      <c r="E269" s="10"/>
      <c r="F269" s="10"/>
      <c r="G269" s="10"/>
      <c r="H269" s="10"/>
    </row>
    <row r="270" spans="1:8" ht="14.25">
      <c r="A270" s="10"/>
      <c r="B270" s="10"/>
      <c r="C270" s="10"/>
      <c r="D270" s="10" t="str">
        <f>"   "&amp;K234*1000000</f>
        <v>   131490000</v>
      </c>
      <c r="E270" s="10"/>
      <c r="F270" s="10"/>
      <c r="G270" s="10"/>
      <c r="H270" s="10"/>
    </row>
    <row r="271" spans="1:8" ht="14.25">
      <c r="A271" s="10"/>
      <c r="B271" s="10"/>
      <c r="C271" s="10"/>
      <c r="D271" s="10" t="str">
        <f>F242&amp;"×"&amp;K245&amp;"×"&amp;E241</f>
        <v>7944×0.858×150</v>
      </c>
      <c r="E271" s="10"/>
      <c r="F271" s="10"/>
      <c r="G271" s="10"/>
      <c r="H271" s="10"/>
    </row>
    <row r="272" spans="1:8" ht="14.25">
      <c r="A272" s="10"/>
      <c r="B272" s="10"/>
      <c r="C272" s="10"/>
      <c r="D272" s="10"/>
      <c r="E272" s="10"/>
      <c r="F272" s="10"/>
      <c r="G272" s="10"/>
      <c r="H272" s="10"/>
    </row>
    <row r="273" spans="1:8" ht="15">
      <c r="A273" s="10"/>
      <c r="B273" s="12" t="s">
        <v>117</v>
      </c>
      <c r="C273" s="10">
        <f>K247</f>
        <v>128.6</v>
      </c>
      <c r="D273" s="10" t="s">
        <v>124</v>
      </c>
      <c r="E273" s="11" t="str">
        <f>IF(C273&lt;=G273,"&lt;","&gt;")</f>
        <v>&lt;</v>
      </c>
      <c r="F273" s="10" t="s">
        <v>122</v>
      </c>
      <c r="G273" s="10">
        <f>'入力'!D24</f>
        <v>180</v>
      </c>
      <c r="H273" s="10" t="s">
        <v>124</v>
      </c>
    </row>
    <row r="274" spans="1:3" ht="12.75">
      <c r="A274" s="10"/>
      <c r="B274" s="10"/>
      <c r="C274" s="10"/>
    </row>
    <row r="275" spans="1:8" ht="12.75">
      <c r="A275" s="10"/>
      <c r="B275" s="10"/>
      <c r="C275" s="10"/>
      <c r="H275" s="7" t="str">
        <f>IF(C273&lt;=G273,"safe","out")</f>
        <v>safe</v>
      </c>
    </row>
    <row r="276" spans="1:8" ht="12.75">
      <c r="A276" s="10"/>
      <c r="B276" s="10"/>
      <c r="C276" s="11"/>
      <c r="D276" s="10"/>
      <c r="E276" s="10"/>
      <c r="F276" s="10"/>
      <c r="G276" s="10"/>
      <c r="H276" s="10"/>
    </row>
    <row r="277" spans="1:8" ht="12.75">
      <c r="A277" s="10"/>
      <c r="B277" s="10" t="s">
        <v>121</v>
      </c>
      <c r="C277" s="11"/>
      <c r="D277" s="10"/>
      <c r="E277" s="10"/>
      <c r="F277" s="10"/>
      <c r="G277" s="10"/>
      <c r="H277" s="10"/>
    </row>
    <row r="278" spans="1:8" ht="14.25">
      <c r="A278" s="10"/>
      <c r="B278" s="10"/>
      <c r="C278" s="10"/>
      <c r="D278" s="10"/>
      <c r="E278" s="10"/>
      <c r="F278" s="10"/>
      <c r="G278" s="10"/>
      <c r="H278" s="10"/>
    </row>
    <row r="279" spans="1:8" ht="14.25">
      <c r="A279" s="10"/>
      <c r="B279" s="12"/>
      <c r="C279" s="11"/>
      <c r="D279" s="11">
        <f>K231*1000</f>
        <v>61430</v>
      </c>
      <c r="E279" s="10"/>
      <c r="F279" s="10"/>
      <c r="G279" s="10"/>
      <c r="H279" s="10"/>
    </row>
    <row r="280" spans="1:8" ht="14.25">
      <c r="A280" s="10"/>
      <c r="B280" s="12"/>
      <c r="C280" s="11"/>
      <c r="D280" s="11" t="str">
        <f>E240&amp;"×"&amp;E241</f>
        <v>5000×150</v>
      </c>
      <c r="E280" s="10"/>
      <c r="F280" s="10"/>
      <c r="G280" s="10"/>
      <c r="H280" s="10"/>
    </row>
    <row r="281" spans="2:8" ht="14.25">
      <c r="B281" s="10"/>
      <c r="C281" s="10"/>
      <c r="D281" s="10"/>
      <c r="E281" s="10"/>
      <c r="F281" s="10"/>
      <c r="G281" s="10"/>
      <c r="H281" s="10"/>
    </row>
    <row r="282" spans="2:8" ht="15">
      <c r="B282" s="12" t="s">
        <v>117</v>
      </c>
      <c r="C282" s="10">
        <f>K248</f>
        <v>0.08</v>
      </c>
      <c r="D282" s="10" t="s">
        <v>124</v>
      </c>
      <c r="E282" s="11" t="str">
        <f>IF(C282&lt;=G282,"&lt;","&gt;")</f>
        <v>&lt;</v>
      </c>
      <c r="F282" s="10" t="s">
        <v>116</v>
      </c>
      <c r="G282" s="10">
        <f>'入力'!D25</f>
        <v>0.39</v>
      </c>
      <c r="H282" s="10" t="s">
        <v>124</v>
      </c>
    </row>
    <row r="284" ht="12.75">
      <c r="H284" s="7" t="str">
        <f>IF(C282&lt;=G282,"safe","out")</f>
        <v>safe</v>
      </c>
    </row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3"/>
  <headerFooter alignWithMargins="0">
    <oddHeader>&amp;C&amp;9側溝蓋版(自動車縦断走行)の設計計算</oddHeader>
    <oddFooter>&amp;C&amp;P</oddFooter>
  </headerFooter>
  <rowBreaks count="6" manualBreakCount="6">
    <brk id="43" max="255" man="1"/>
    <brk id="84" max="255" man="1"/>
    <brk id="119" max="255" man="1"/>
    <brk id="154" max="255" man="1"/>
    <brk id="190" max="255" man="1"/>
    <brk id="23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DT-121</dc:creator>
  <cp:keywords/>
  <dc:description/>
  <cp:lastModifiedBy>Owner</cp:lastModifiedBy>
  <cp:lastPrinted>2007-07-02T19:06:19Z</cp:lastPrinted>
  <dcterms:created xsi:type="dcterms:W3CDTF">2001-08-11T02:04:29Z</dcterms:created>
  <dcterms:modified xsi:type="dcterms:W3CDTF">2014-02-17T10:48:23Z</dcterms:modified>
  <cp:category/>
  <cp:version/>
  <cp:contentType/>
  <cp:contentStatus/>
</cp:coreProperties>
</file>