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600" windowHeight="12690" activeTab="0"/>
  </bookViews>
  <sheets>
    <sheet name="入力" sheetId="1" r:id="rId1"/>
    <sheet name="出力" sheetId="2" r:id="rId2"/>
    <sheet name="主働土圧" sheetId="3" state="hidden" r:id="rId3"/>
  </sheets>
  <definedNames>
    <definedName name="_xlnm.Print_Area" localSheetId="1">'出力'!$A$1:$I$467</definedName>
  </definedNames>
  <calcPr fullCalcOnLoad="1"/>
</workbook>
</file>

<file path=xl/comments1.xml><?xml version="1.0" encoding="utf-8"?>
<comments xmlns="http://schemas.openxmlformats.org/spreadsheetml/2006/main">
  <authors>
    <author>右城 猛</author>
  </authors>
  <commentList>
    <comment ref="D22" authorId="0">
      <text>
        <r>
          <rPr>
            <b/>
            <sz val="9"/>
            <rFont val="ＭＳ Ｐゴシック"/>
            <family val="3"/>
          </rPr>
          <t>0から1.0の範囲
道路土工指針は0.5</t>
        </r>
        <r>
          <rPr>
            <sz val="9"/>
            <rFont val="ＭＳ Ｐゴシック"/>
            <family val="3"/>
          </rPr>
          <t xml:space="preserve">
</t>
        </r>
      </text>
    </comment>
    <comment ref="D23" authorId="0">
      <text>
        <r>
          <rPr>
            <b/>
            <sz val="9"/>
            <rFont val="ＭＳ Ｐゴシック"/>
            <family val="3"/>
          </rPr>
          <t>土砂は0.6
岩着は0.7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b/>
            <sz val="9"/>
            <rFont val="ＭＳ Ｐゴシック"/>
            <family val="3"/>
          </rPr>
          <t>目安はN値の10倍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9"/>
            <rFont val="ＭＳ Ｐゴシック"/>
            <family val="3"/>
          </rPr>
          <t>将来的に安定した有効根入れ深さ
洗掘などが予想される範囲は除くこと: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0">
      <text>
        <r>
          <rPr>
            <b/>
            <sz val="9"/>
            <rFont val="ＭＳ Ｐゴシック"/>
            <family val="3"/>
          </rPr>
          <t>常 　時：δ=2φ/3
地震時：δ=φ/2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<sst xmlns="http://schemas.openxmlformats.org/spreadsheetml/2006/main" count="521" uniqueCount="288">
  <si>
    <t>H1=</t>
  </si>
  <si>
    <t>H2=</t>
  </si>
  <si>
    <t>n1=</t>
  </si>
  <si>
    <t>n2=</t>
  </si>
  <si>
    <t>t=</t>
  </si>
  <si>
    <t>α1=</t>
  </si>
  <si>
    <t>α2=</t>
  </si>
  <si>
    <t>rad</t>
  </si>
  <si>
    <t>deg</t>
  </si>
  <si>
    <t>kN/m3</t>
  </si>
  <si>
    <t>kN/m3</t>
  </si>
  <si>
    <t>h1=</t>
  </si>
  <si>
    <t>kN/m</t>
  </si>
  <si>
    <t>m</t>
  </si>
  <si>
    <t>m</t>
  </si>
  <si>
    <t>kH=</t>
  </si>
  <si>
    <t>m</t>
  </si>
  <si>
    <t>γ=</t>
  </si>
  <si>
    <t>φ=</t>
  </si>
  <si>
    <t>δ1=</t>
  </si>
  <si>
    <t>δ2=</t>
  </si>
  <si>
    <t>h2=</t>
  </si>
  <si>
    <t>H0=</t>
  </si>
  <si>
    <t>m=</t>
  </si>
  <si>
    <t>β=</t>
  </si>
  <si>
    <t>ω0=</t>
  </si>
  <si>
    <t>ω(deg)</t>
  </si>
  <si>
    <t>ω(rad)</t>
  </si>
  <si>
    <t>q=</t>
  </si>
  <si>
    <t>kN/m2</t>
  </si>
  <si>
    <t>λ</t>
  </si>
  <si>
    <t>Wo</t>
  </si>
  <si>
    <t>W(水平)</t>
  </si>
  <si>
    <t>W(嵩上げ)</t>
  </si>
  <si>
    <t>W(一様)</t>
  </si>
  <si>
    <t>W(正解)</t>
  </si>
  <si>
    <t>PA2</t>
  </si>
  <si>
    <t>θ=</t>
  </si>
  <si>
    <t>Ψ1</t>
  </si>
  <si>
    <t>Ψ2</t>
  </si>
  <si>
    <t>正解</t>
  </si>
  <si>
    <t>ω0'=</t>
  </si>
  <si>
    <t>H2'=</t>
  </si>
  <si>
    <t>h2'=</t>
  </si>
  <si>
    <t>PA2=</t>
  </si>
  <si>
    <t>kN/m</t>
  </si>
  <si>
    <t>p1=</t>
  </si>
  <si>
    <t>p2=</t>
  </si>
  <si>
    <t>x</t>
  </si>
  <si>
    <t>盛土</t>
  </si>
  <si>
    <t>すべり面</t>
  </si>
  <si>
    <t>n3=</t>
  </si>
  <si>
    <t>bs=</t>
  </si>
  <si>
    <t>擁壁</t>
  </si>
  <si>
    <t>載荷重</t>
  </si>
  <si>
    <t>No.</t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</si>
  <si>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</si>
  <si>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</si>
  <si>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A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</si>
  <si>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Ws=</t>
  </si>
  <si>
    <t>A=</t>
  </si>
  <si>
    <t>λ=</t>
  </si>
  <si>
    <t>W=</t>
  </si>
  <si>
    <t>ω0=</t>
  </si>
  <si>
    <t>rad</t>
  </si>
  <si>
    <t>ω=</t>
  </si>
  <si>
    <t>L=</t>
  </si>
  <si>
    <t>区切り線</t>
  </si>
  <si>
    <t>勾配</t>
  </si>
  <si>
    <t xml:space="preserve"> H1=</t>
  </si>
  <si>
    <t>ブロック積</t>
  </si>
  <si>
    <t>重力擁壁</t>
  </si>
  <si>
    <t>前面高さ</t>
  </si>
  <si>
    <t>前面高さ</t>
  </si>
  <si>
    <t>小段の幅</t>
  </si>
  <si>
    <t>前面勾配</t>
  </si>
  <si>
    <t>背面勾配</t>
  </si>
  <si>
    <t>嵩上げ高</t>
  </si>
  <si>
    <t>盛土勾配</t>
  </si>
  <si>
    <t>kh=</t>
  </si>
  <si>
    <t>水平震度</t>
  </si>
  <si>
    <t>荷重</t>
  </si>
  <si>
    <t>地表載荷重</t>
  </si>
  <si>
    <t>分布荷重</t>
  </si>
  <si>
    <t>地震荷重</t>
  </si>
  <si>
    <t>盛土</t>
  </si>
  <si>
    <t>単位重量</t>
  </si>
  <si>
    <t>内部摩擦角</t>
  </si>
  <si>
    <t>γ=</t>
  </si>
  <si>
    <t>φ=</t>
  </si>
  <si>
    <t>γc1=</t>
  </si>
  <si>
    <t>γc2=</t>
  </si>
  <si>
    <t>kN/m3</t>
  </si>
  <si>
    <t>度</t>
  </si>
  <si>
    <t>壁面摩擦角</t>
  </si>
  <si>
    <t>δ=</t>
  </si>
  <si>
    <t>支持地盤</t>
  </si>
  <si>
    <t>摩擦係数</t>
  </si>
  <si>
    <t>μ=</t>
  </si>
  <si>
    <t>Ho=</t>
  </si>
  <si>
    <t>１：n1=１：</t>
  </si>
  <si>
    <t>１：n2=１：</t>
  </si>
  <si>
    <t>１：n3=１：</t>
  </si>
  <si>
    <t>１：m=１：</t>
  </si>
  <si>
    <t>１．設計条件</t>
  </si>
  <si>
    <t>x(m)</t>
  </si>
  <si>
    <t>y(m)</t>
  </si>
  <si>
    <t>∑</t>
  </si>
  <si>
    <t>断面積</t>
  </si>
  <si>
    <t>m2</t>
  </si>
  <si>
    <t>重量</t>
  </si>
  <si>
    <t>kN</t>
  </si>
  <si>
    <t>重心位置</t>
  </si>
  <si>
    <t>Ac1=</t>
  </si>
  <si>
    <t>Wc1=</t>
  </si>
  <si>
    <t>自重</t>
  </si>
  <si>
    <t>ブロック</t>
  </si>
  <si>
    <t>V</t>
  </si>
  <si>
    <t>H</t>
  </si>
  <si>
    <t>y</t>
  </si>
  <si>
    <t>Vx</t>
  </si>
  <si>
    <t>Hy</t>
  </si>
  <si>
    <t>Ac2=</t>
  </si>
  <si>
    <t>Wc2=</t>
  </si>
  <si>
    <t>x2=</t>
  </si>
  <si>
    <t>y2=</t>
  </si>
  <si>
    <t>x=</t>
  </si>
  <si>
    <t>y=</t>
  </si>
  <si>
    <t>B=</t>
  </si>
  <si>
    <t>∑</t>
  </si>
  <si>
    <t>d=</t>
  </si>
  <si>
    <t>e=</t>
  </si>
  <si>
    <t>ea=</t>
  </si>
  <si>
    <t>Fs=</t>
  </si>
  <si>
    <t>Fsa=</t>
  </si>
  <si>
    <t>q1=</t>
  </si>
  <si>
    <t>q2=</t>
  </si>
  <si>
    <r>
      <t>A(m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</si>
  <si>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Gy(m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</si>
  <si>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Gx(m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</si>
  <si>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</si>
  <si>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t>ω(゜)</t>
  </si>
  <si>
    <t>λ(m)</t>
  </si>
  <si>
    <r>
      <t>W</t>
    </r>
    <r>
      <rPr>
        <sz val="11"/>
        <rFont val="ＭＳ Ｐゴシック"/>
        <family val="3"/>
      </rPr>
      <t>o(kN/m)</t>
    </r>
  </si>
  <si>
    <r>
      <t>W</t>
    </r>
    <r>
      <rPr>
        <sz val="11"/>
        <rFont val="ＭＳ Ｐゴシック"/>
        <family val="3"/>
      </rPr>
      <t>(kN/m)</t>
    </r>
  </si>
  <si>
    <r>
      <t>P</t>
    </r>
    <r>
      <rPr>
        <i/>
        <vertAlign val="subscript"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(kN/m)</t>
    </r>
  </si>
  <si>
    <t>(kN/m)</t>
  </si>
  <si>
    <t>(m)</t>
  </si>
  <si>
    <t>(kNm/m)</t>
  </si>
  <si>
    <t>point</t>
  </si>
  <si>
    <t>座標点</t>
  </si>
  <si>
    <r>
      <t>y</t>
    </r>
    <r>
      <rPr>
        <sz val="11"/>
        <rFont val="ＭＳ Ｐゴシック"/>
        <family val="3"/>
      </rPr>
      <t>(m)</t>
    </r>
  </si>
  <si>
    <t>x(m)</t>
  </si>
  <si>
    <t>複合擁壁の座標値</t>
  </si>
  <si>
    <t>xc1=</t>
  </si>
  <si>
    <t>yc1=</t>
  </si>
  <si>
    <t>PA1=</t>
  </si>
  <si>
    <t>控え厚</t>
  </si>
  <si>
    <t>γc2=</t>
  </si>
  <si>
    <t>δ=</t>
  </si>
  <si>
    <t>度</t>
  </si>
  <si>
    <t>μ=</t>
  </si>
  <si>
    <t>qa=</t>
  </si>
  <si>
    <t>kN/m2</t>
  </si>
  <si>
    <t>許容支持力</t>
  </si>
  <si>
    <t>座標値を用いて計算する。</t>
  </si>
  <si>
    <t>断面積</t>
  </si>
  <si>
    <t>断面１次モーメント</t>
  </si>
  <si>
    <t>複合擁壁の壁背面の高さ</t>
  </si>
  <si>
    <t>度</t>
  </si>
  <si>
    <t>（１）計算条件</t>
  </si>
  <si>
    <t>θ=</t>
  </si>
  <si>
    <t>度</t>
  </si>
  <si>
    <t>タイプ１の場合</t>
  </si>
  <si>
    <t>タイプ２の場合</t>
  </si>
  <si>
    <t>タイプ３の場合</t>
  </si>
  <si>
    <t>　　ただし，</t>
  </si>
  <si>
    <t>すべり土塊重量(載荷重を含む)</t>
  </si>
  <si>
    <t>主働土圧合力</t>
  </si>
  <si>
    <t>　ただし，</t>
  </si>
  <si>
    <t>(正解)</t>
  </si>
  <si>
    <t>主働すべり角</t>
  </si>
  <si>
    <t>主働土圧合力の鉛直成分</t>
  </si>
  <si>
    <t>主働土圧合力の水平成分</t>
  </si>
  <si>
    <t>重力式擁壁の上1/2に作用する主働土圧合力の計算</t>
  </si>
  <si>
    <t>土圧強度</t>
  </si>
  <si>
    <t>p1=</t>
  </si>
  <si>
    <t>p2=</t>
  </si>
  <si>
    <t>土圧合力の作用位置</t>
  </si>
  <si>
    <t>yA2=</t>
  </si>
  <si>
    <t>５．安定計算</t>
  </si>
  <si>
    <t>（１）重力式擁壁に作用する荷重の集計</t>
  </si>
  <si>
    <t>－</t>
  </si>
  <si>
    <t>底面幅</t>
  </si>
  <si>
    <t>つま先から合力の作用位置までの距離</t>
  </si>
  <si>
    <t>合力の偏心量</t>
  </si>
  <si>
    <t>（２）転倒に対する検討</t>
  </si>
  <si>
    <t>（３）滑動に対する検討</t>
  </si>
  <si>
    <t>（４）支持力に対する検討</t>
  </si>
  <si>
    <t>つま先の地盤反力度</t>
  </si>
  <si>
    <t>かかとの地盤反力度</t>
  </si>
  <si>
    <t>最大地盤反力度</t>
  </si>
  <si>
    <t>qmax=</t>
  </si>
  <si>
    <t>■入力データ</t>
  </si>
  <si>
    <t>■計算結果</t>
  </si>
  <si>
    <t>α1=</t>
  </si>
  <si>
    <t>q=</t>
  </si>
  <si>
    <t>h0=</t>
  </si>
  <si>
    <t>deg</t>
  </si>
  <si>
    <t>1/2γh1^2=</t>
  </si>
  <si>
    <t>KA1=</t>
  </si>
  <si>
    <t>PAV1=</t>
  </si>
  <si>
    <t>PAH1=</t>
  </si>
  <si>
    <t>P'A2=</t>
  </si>
  <si>
    <t>h2=</t>
  </si>
  <si>
    <t>２．擁壁の自重と重心位置</t>
  </si>
  <si>
    <t>（２） ブロック積み擁壁の自重と重心位置</t>
  </si>
  <si>
    <t>（１） 計算法</t>
  </si>
  <si>
    <t>（３） 重力式擁壁の重量と重心位置</t>
  </si>
  <si>
    <t>３．主働土圧</t>
  </si>
  <si>
    <t>（２）ブロック積み擁壁に作用する主働土圧</t>
  </si>
  <si>
    <t>　ａ）計算式</t>
  </si>
  <si>
    <t xml:space="preserve">  ｂ）すべり角と主働土圧合力の計算</t>
  </si>
  <si>
    <t>PA1</t>
  </si>
  <si>
    <t>主働土圧合力の作用位置</t>
  </si>
  <si>
    <t>xA1=</t>
  </si>
  <si>
    <t>yA1=</t>
  </si>
  <si>
    <t>（３）重力式擁壁に作用する主働土圧</t>
  </si>
  <si>
    <t xml:space="preserve">  b）すべり角と主働土圧合力の計算</t>
  </si>
  <si>
    <t xml:space="preserve"> c）土圧合力の作用位置の計算</t>
  </si>
  <si>
    <t>土圧１</t>
  </si>
  <si>
    <t>土圧2</t>
  </si>
  <si>
    <t>δ2=</t>
  </si>
  <si>
    <t>h1(3q+γh1)</t>
  </si>
  <si>
    <t>3(2q+γh1)</t>
  </si>
  <si>
    <t>n1(yA1-h2)-n3×h2＋B</t>
  </si>
  <si>
    <t>|e|=</t>
  </si>
  <si>
    <t>根入地盤</t>
  </si>
  <si>
    <t>根入れ深さ</t>
  </si>
  <si>
    <t>Df=</t>
  </si>
  <si>
    <t>粘着力</t>
  </si>
  <si>
    <t>c=</t>
  </si>
  <si>
    <t>受働土圧有効係数</t>
  </si>
  <si>
    <t>前面地盤</t>
  </si>
  <si>
    <t>α=</t>
  </si>
  <si>
    <t>KP=</t>
  </si>
  <si>
    <t>c=</t>
  </si>
  <si>
    <t>Df=</t>
  </si>
  <si>
    <t>安全率</t>
  </si>
  <si>
    <t>PP=</t>
  </si>
  <si>
    <t>受働土圧</t>
  </si>
  <si>
    <t>∑H</t>
  </si>
  <si>
    <t>μ∑V+αPp</t>
  </si>
  <si>
    <t>∑V(B+6e)</t>
  </si>
  <si>
    <t>B^2</t>
  </si>
  <si>
    <t>∑V(B-6e)</t>
  </si>
  <si>
    <t>（１）記号の説明</t>
  </si>
  <si>
    <t>（２）ブロック積みの形状寸法</t>
  </si>
  <si>
    <t>（３）重力式擁壁の形状寸法</t>
  </si>
  <si>
    <t>（４）地表面載荷重</t>
  </si>
  <si>
    <t>（５）地震荷重</t>
  </si>
  <si>
    <t>（６）盛　土</t>
  </si>
  <si>
    <t>（７）根入れ地盤</t>
  </si>
  <si>
    <t>（８）支持地盤</t>
  </si>
  <si>
    <r>
      <t>P</t>
    </r>
    <r>
      <rPr>
        <i/>
        <vertAlign val="subscript"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(kN/m)</t>
    </r>
  </si>
  <si>
    <t>PAV1=</t>
  </si>
  <si>
    <t>PAH1=</t>
  </si>
  <si>
    <t>PAV2=</t>
  </si>
  <si>
    <t>PAH2=</t>
  </si>
  <si>
    <r>
      <t>P'</t>
    </r>
    <r>
      <rPr>
        <i/>
        <vertAlign val="subscript"/>
        <sz val="11"/>
        <rFont val="ＭＳ Ｐゴシック"/>
        <family val="3"/>
      </rPr>
      <t>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(kN/m)</t>
    </r>
  </si>
  <si>
    <r>
      <t>W'</t>
    </r>
    <r>
      <rPr>
        <sz val="11"/>
        <rFont val="ＭＳ Ｐゴシック"/>
        <family val="3"/>
      </rPr>
      <t>(kN/m)</t>
    </r>
  </si>
  <si>
    <r>
      <t>W'</t>
    </r>
    <r>
      <rPr>
        <sz val="11"/>
        <rFont val="ＭＳ Ｐゴシック"/>
        <family val="3"/>
      </rPr>
      <t>o(kN/m)</t>
    </r>
  </si>
  <si>
    <t>λ'(m)</t>
  </si>
  <si>
    <t>許容偏心量</t>
  </si>
  <si>
    <t>ΣV</t>
  </si>
  <si>
    <t>=</t>
  </si>
  <si>
    <t>B</t>
  </si>
  <si>
    <t>h2</t>
  </si>
  <si>
    <t>2PA2</t>
  </si>
  <si>
    <t>3×(p1+p2)</t>
  </si>
  <si>
    <t>xA2=</t>
  </si>
  <si>
    <t>受働土圧係数</t>
  </si>
  <si>
    <t>1/2γDf^2Kp+2cDfKp^0.5</t>
  </si>
  <si>
    <t>2∑V</t>
  </si>
  <si>
    <t>3d</t>
  </si>
  <si>
    <t>B/6=</t>
  </si>
  <si>
    <t>合力が底面の核内なので地盤反力は台形分布する</t>
  </si>
  <si>
    <t>合力が底面の核外なので地盤反力は三角形分布する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</si>
</sst>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"/>
    <numFmt numFmtId="179" formatCode="0.0000"/>
    <numFmt numFmtId="180" formatCode="0.0"/>
    <numFmt numFmtId="181" formatCode="0.00_);[Red]\(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i/>
      <sz val="11"/>
      <name val="ＭＳ Ｐゴシック"/>
      <family val="3"/>
    </font>
    <font>
      <i/>
      <vertAlign val="subscript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11"/>
      <color indexed="53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"/>
          <c:h val="0.956"/>
        </c:manualLayout>
      </c:layout>
      <c:scatterChart>
        <c:scatterStyle val="line"/>
        <c:varyColors val="0"/>
        <c:ser>
          <c:idx val="0"/>
          <c:order val="0"/>
          <c:tx>
            <c:strRef>
              <c:f>'主働土圧'!$Q$5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'主働土圧'!$Q$6:$Q$25</c:f>
              <c:numCache>
                <c:ptCount val="2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2.7800000000000002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'主働土圧'!$R$5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'主働土圧'!$R$6:$R$25</c:f>
              <c:numCache>
                <c:ptCount val="20"/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'主働土圧'!$S$5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'主働土圧'!$S$6:$S$25</c:f>
              <c:numCache>
                <c:ptCount val="20"/>
                <c:pt idx="11">
                  <c:v>0</c:v>
                </c:pt>
                <c:pt idx="12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'主働土圧'!$T$5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'主働土圧'!$T$6:$T$25</c:f>
              <c:numCache>
                <c:ptCount val="20"/>
                <c:pt idx="13">
                  <c:v>8</c:v>
                </c:pt>
                <c:pt idx="14">
                  <c:v>8.5</c:v>
                </c:pt>
                <c:pt idx="15">
                  <c:v>8.5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'主働土圧'!$U$5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'主働土圧'!$U$6:$U$25</c:f>
              <c:numCache>
                <c:ptCount val="20"/>
                <c:pt idx="16">
                  <c:v>3</c:v>
                </c:pt>
                <c:pt idx="17">
                  <c:v>2.7800000000000002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'主働土圧'!$V$5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'主働土圧'!$V$6:$V$25</c:f>
              <c:numCache>
                <c:ptCount val="20"/>
                <c:pt idx="18">
                  <c:v>1.5</c:v>
                </c:pt>
                <c:pt idx="19">
                  <c:v>1.5</c:v>
                </c:pt>
              </c:numCache>
            </c:numRef>
          </c:yVal>
          <c:smooth val="0"/>
        </c:ser>
        <c:axId val="43979392"/>
        <c:axId val="60270209"/>
      </c:scatterChart>
      <c:valAx>
        <c:axId val="4397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70209"/>
        <c:crosses val="autoZero"/>
        <c:crossBetween val="midCat"/>
        <c:dispUnits/>
      </c:valAx>
      <c:valAx>
        <c:axId val="60270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793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'出力'!$F$273</c:f>
              <c:strCache>
                <c:ptCount val="1"/>
                <c:pt idx="0">
                  <c:v>PA2(kN/m)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'出力'!$B$274:$B$282</c:f>
              <c:numCache/>
            </c:numRef>
          </c:xVal>
          <c:yVal>
            <c:numRef>
              <c:f>'出力'!$F$274:$F$282</c:f>
              <c:numCache/>
            </c:numRef>
          </c:yVal>
          <c:smooth val="1"/>
        </c:ser>
        <c:axId val="5560970"/>
        <c:axId val="50048731"/>
      </c:scatterChart>
      <c:val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ω(゜)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0048731"/>
        <c:crosses val="autoZero"/>
        <c:crossBetween val="midCat"/>
        <c:dispUnits/>
      </c:valAx>
      <c:valAx>
        <c:axId val="5004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PA2  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5609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565"/>
          <c:w val="0.90425"/>
          <c:h val="0.84075"/>
        </c:manualLayout>
      </c:layout>
      <c:scatterChart>
        <c:scatterStyle val="smooth"/>
        <c:varyColors val="0"/>
        <c:ser>
          <c:idx val="0"/>
          <c:order val="0"/>
          <c:tx>
            <c:strRef>
              <c:f>'出力'!$F$318</c:f>
              <c:strCache>
                <c:ptCount val="1"/>
                <c:pt idx="0">
                  <c:v>P'A2(kN/m)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'出力'!$B$319:$B$327</c:f>
              <c:numCache/>
            </c:numRef>
          </c:xVal>
          <c:yVal>
            <c:numRef>
              <c:f>'出力'!$F$319:$F$327</c:f>
              <c:numCache/>
            </c:numRef>
          </c:yVal>
          <c:smooth val="1"/>
        </c:ser>
        <c:axId val="47785396"/>
        <c:axId val="27415381"/>
      </c:scatterChart>
      <c:valAx>
        <c:axId val="4778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ω(゜)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415381"/>
        <c:crosses val="autoZero"/>
        <c:crossBetween val="midCat"/>
        <c:dispUnits/>
      </c:valAx>
      <c:valAx>
        <c:axId val="2741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P'A2(kN/m2)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77853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'出力'!$B$186</c:f>
              <c:strCache>
                <c:ptCount val="1"/>
                <c:pt idx="0">
                  <c:v>ω(゜)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'出力'!$B$187:$B$195</c:f>
              <c:numCache/>
            </c:numRef>
          </c:xVal>
          <c:yVal>
            <c:numRef>
              <c:f>'出力'!$F$187:$F$195</c:f>
              <c:numCache/>
            </c:numRef>
          </c:yVal>
          <c:smooth val="1"/>
        </c:ser>
        <c:axId val="45411838"/>
        <c:axId val="6053359"/>
      </c:scatterChart>
      <c:val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ω(゜)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53359"/>
        <c:crosses val="autoZero"/>
        <c:crossBetween val="midCat"/>
        <c:dispUnits/>
      </c:valAx>
      <c:valAx>
        <c:axId val="60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PA1  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54118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25"/>
          <c:h val="0.9415"/>
        </c:manualLayout>
      </c:layout>
      <c:scatterChart>
        <c:scatterStyle val="line"/>
        <c:varyColors val="0"/>
        <c:ser>
          <c:idx val="0"/>
          <c:order val="0"/>
          <c:tx>
            <c:strRef>
              <c:f>'主働土圧'!$Q$5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'主働土圧'!$Q$6:$Q$25</c:f>
              <c:numCache>
                <c:ptCount val="2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2.7800000000000002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'主働土圧'!$R$5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'主働土圧'!$R$6:$R$25</c:f>
              <c:numCache>
                <c:ptCount val="20"/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'主働土圧'!$S$5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'主働土圧'!$S$6:$S$25</c:f>
              <c:numCache>
                <c:ptCount val="20"/>
                <c:pt idx="11">
                  <c:v>0</c:v>
                </c:pt>
                <c:pt idx="12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'主働土圧'!$T$5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'主働土圧'!$T$6:$T$25</c:f>
              <c:numCache>
                <c:ptCount val="20"/>
                <c:pt idx="13">
                  <c:v>8</c:v>
                </c:pt>
                <c:pt idx="14">
                  <c:v>8.5</c:v>
                </c:pt>
                <c:pt idx="15">
                  <c:v>8.5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'主働土圧'!$U$5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'主働土圧'!$U$6:$U$25</c:f>
              <c:numCache>
                <c:ptCount val="20"/>
                <c:pt idx="16">
                  <c:v>3</c:v>
                </c:pt>
                <c:pt idx="17">
                  <c:v>2.7800000000000002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'主働土圧'!$V$5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>
                <c:ptCount val="20"/>
                <c:pt idx="0">
                  <c:v>0</c:v>
                </c:pt>
                <c:pt idx="1">
                  <c:v>1.5</c:v>
                </c:pt>
                <c:pt idx="2">
                  <c:v>1.7</c:v>
                </c:pt>
                <c:pt idx="3">
                  <c:v>4.2</c:v>
                </c:pt>
                <c:pt idx="4">
                  <c:v>4.759</c:v>
                </c:pt>
                <c:pt idx="5">
                  <c:v>2.149</c:v>
                </c:pt>
                <c:pt idx="6">
                  <c:v>2.149</c:v>
                </c:pt>
                <c:pt idx="7">
                  <c:v>0</c:v>
                </c:pt>
                <c:pt idx="8">
                  <c:v>4.759</c:v>
                </c:pt>
                <c:pt idx="9">
                  <c:v>4.759</c:v>
                </c:pt>
                <c:pt idx="10">
                  <c:v>8.961</c:v>
                </c:pt>
                <c:pt idx="11">
                  <c:v>2.149</c:v>
                </c:pt>
                <c:pt idx="12">
                  <c:v>7.961</c:v>
                </c:pt>
                <c:pt idx="13">
                  <c:v>4.759</c:v>
                </c:pt>
                <c:pt idx="14">
                  <c:v>4.759</c:v>
                </c:pt>
                <c:pt idx="15">
                  <c:v>8.961</c:v>
                </c:pt>
                <c:pt idx="16">
                  <c:v>1.7</c:v>
                </c:pt>
                <c:pt idx="17">
                  <c:v>2.149</c:v>
                </c:pt>
                <c:pt idx="18">
                  <c:v>0.75</c:v>
                </c:pt>
                <c:pt idx="19">
                  <c:v>-0.75</c:v>
                </c:pt>
              </c:numCache>
            </c:numRef>
          </c:xVal>
          <c:yVal>
            <c:numRef>
              <c:f>'主働土圧'!$V$6:$V$25</c:f>
              <c:numCache>
                <c:ptCount val="20"/>
                <c:pt idx="18">
                  <c:v>1.5</c:v>
                </c:pt>
                <c:pt idx="19">
                  <c:v>1.5</c:v>
                </c:pt>
              </c:numCache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0560041"/>
        <c:crosses val="autoZero"/>
        <c:crossBetween val="midCat"/>
        <c:dispUnits/>
      </c:valAx>
      <c:valAx>
        <c:axId val="20560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4802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'主働土圧'!$X$5</c:f>
              <c:strCache>
                <c:ptCount val="1"/>
                <c:pt idx="0">
                  <c:v>擁壁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'主働土圧'!$X$6:$X$23</c:f>
              <c:numCache/>
            </c:numRef>
          </c:yVal>
          <c:smooth val="0"/>
        </c:ser>
        <c:ser>
          <c:idx val="1"/>
          <c:order val="1"/>
          <c:tx>
            <c:strRef>
              <c:f>'主働土圧'!$Y$5</c:f>
              <c:strCache>
                <c:ptCount val="1"/>
                <c:pt idx="0">
                  <c:v>盛土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'主働土圧'!$Y$6:$Y$23</c:f>
              <c:numCache/>
            </c:numRef>
          </c:yVal>
          <c:smooth val="0"/>
        </c:ser>
        <c:ser>
          <c:idx val="2"/>
          <c:order val="2"/>
          <c:tx>
            <c:strRef>
              <c:f>'主働土圧'!$Z$5</c:f>
              <c:strCache>
                <c:ptCount val="1"/>
                <c:pt idx="0">
                  <c:v>すべり面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'主働土圧'!$Z$6:$Z$23</c:f>
              <c:numCache/>
            </c:numRef>
          </c:yVal>
          <c:smooth val="0"/>
        </c:ser>
        <c:ser>
          <c:idx val="3"/>
          <c:order val="3"/>
          <c:tx>
            <c:strRef>
              <c:f>'主働土圧'!$AA$5</c:f>
              <c:strCache>
                <c:ptCount val="1"/>
                <c:pt idx="0">
                  <c:v>載荷重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'主働土圧'!$AA$6:$AA$23</c:f>
              <c:numCache/>
            </c:numRef>
          </c:yVal>
          <c:smooth val="0"/>
        </c:ser>
        <c:ser>
          <c:idx val="4"/>
          <c:order val="4"/>
          <c:tx>
            <c:strRef>
              <c:f>'主働土圧'!$AB$5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'主働土圧'!$W$6:$W$23</c:f>
              <c:numCache/>
            </c:numRef>
          </c:xVal>
          <c:yVal>
            <c:numRef>
              <c:f>'主働土圧'!$AB$6:$AB$23</c:f>
              <c:numCache/>
            </c:numRef>
          </c:yVal>
          <c:smooth val="0"/>
        </c:ser>
        <c:axId val="50822642"/>
        <c:axId val="54750595"/>
      </c:scatterChart>
      <c:valAx>
        <c:axId val="50822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50595"/>
        <c:crosses val="autoZero"/>
        <c:crossBetween val="midCat"/>
        <c:dispUnits/>
      </c:valAx>
      <c:valAx>
        <c:axId val="54750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226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'主働土圧'!$Q$5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'主働土圧'!$Q$6:$Q$25</c:f>
              <c:numCache/>
            </c:numRef>
          </c:yVal>
          <c:smooth val="0"/>
        </c:ser>
        <c:ser>
          <c:idx val="1"/>
          <c:order val="1"/>
          <c:tx>
            <c:strRef>
              <c:f>'主働土圧'!$R$5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'主働土圧'!$R$6:$R$25</c:f>
              <c:numCache/>
            </c:numRef>
          </c:yVal>
          <c:smooth val="0"/>
        </c:ser>
        <c:ser>
          <c:idx val="2"/>
          <c:order val="2"/>
          <c:tx>
            <c:strRef>
              <c:f>'主働土圧'!$S$5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'主働土圧'!$S$6:$S$25</c:f>
              <c:numCache/>
            </c:numRef>
          </c:yVal>
          <c:smooth val="0"/>
        </c:ser>
        <c:ser>
          <c:idx val="3"/>
          <c:order val="3"/>
          <c:tx>
            <c:strRef>
              <c:f>'主働土圧'!$T$5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'主働土圧'!$T$6:$T$25</c:f>
              <c:numCache/>
            </c:numRef>
          </c:yVal>
          <c:smooth val="0"/>
        </c:ser>
        <c:ser>
          <c:idx val="4"/>
          <c:order val="4"/>
          <c:tx>
            <c:strRef>
              <c:f>'主働土圧'!$U$5</c:f>
              <c:strCache>
                <c:ptCount val="1"/>
                <c:pt idx="0">
                  <c:v>区切り線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'主働土圧'!$P$6:$P$25</c:f>
              <c:numCache/>
            </c:numRef>
          </c:xVal>
          <c:yVal>
            <c:numRef>
              <c:f>'主働土圧'!$U$6:$U$25</c:f>
              <c:numCache/>
            </c:numRef>
          </c:yVal>
          <c:smooth val="0"/>
        </c:ser>
        <c:ser>
          <c:idx val="5"/>
          <c:order val="5"/>
          <c:tx>
            <c:strRef>
              <c:f>'主働土圧'!$V$5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'主働土圧'!$P$6:$P$25</c:f>
              <c:numCache/>
            </c:numRef>
          </c:xVal>
          <c:yVal>
            <c:numRef>
              <c:f>'主働土圧'!$V$6:$V$25</c:f>
              <c:numCache/>
            </c:numRef>
          </c:yVal>
          <c:smooth val="0"/>
        </c:ser>
        <c:axId val="22993308"/>
        <c:axId val="5613181"/>
      </c:scatterChart>
      <c:valAx>
        <c:axId val="22993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3181"/>
        <c:crosses val="autoZero"/>
        <c:crossBetween val="midCat"/>
        <c:dispUnits/>
      </c:valAx>
      <c:valAx>
        <c:axId val="5613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933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1.emf" /><Relationship Id="rId18" Type="http://schemas.openxmlformats.org/officeDocument/2006/relationships/image" Target="../media/image4.emf" /><Relationship Id="rId19" Type="http://schemas.openxmlformats.org/officeDocument/2006/relationships/image" Target="../media/image7.emf" /><Relationship Id="rId20" Type="http://schemas.openxmlformats.org/officeDocument/2006/relationships/image" Target="../media/image12.emf" /><Relationship Id="rId21" Type="http://schemas.openxmlformats.org/officeDocument/2006/relationships/image" Target="../media/image13.emf" /><Relationship Id="rId22" Type="http://schemas.openxmlformats.org/officeDocument/2006/relationships/image" Target="../media/image19.emf" /><Relationship Id="rId23" Type="http://schemas.openxmlformats.org/officeDocument/2006/relationships/chart" Target="/xl/charts/chart4.xml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chart" Target="/xl/charts/chart5.xml" /><Relationship Id="rId27" Type="http://schemas.openxmlformats.org/officeDocument/2006/relationships/image" Target="../media/image6.emf" /><Relationship Id="rId28" Type="http://schemas.openxmlformats.org/officeDocument/2006/relationships/image" Target="../media/image26.emf" /><Relationship Id="rId29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</xdr:row>
      <xdr:rowOff>161925</xdr:rowOff>
    </xdr:from>
    <xdr:to>
      <xdr:col>18</xdr:col>
      <xdr:colOff>628650</xdr:colOff>
      <xdr:row>19</xdr:row>
      <xdr:rowOff>190500</xdr:rowOff>
    </xdr:to>
    <xdr:graphicFrame>
      <xdr:nvGraphicFramePr>
        <xdr:cNvPr id="1" name="Chart 6"/>
        <xdr:cNvGraphicFramePr/>
      </xdr:nvGraphicFramePr>
      <xdr:xfrm>
        <a:off x="7734300" y="657225"/>
        <a:ext cx="52387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514350</xdr:colOff>
      <xdr:row>1</xdr:row>
      <xdr:rowOff>114300</xdr:rowOff>
    </xdr:from>
    <xdr:to>
      <xdr:col>11</xdr:col>
      <xdr:colOff>447675</xdr:colOff>
      <xdr:row>20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361950"/>
          <a:ext cx="47339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282</xdr:row>
      <xdr:rowOff>219075</xdr:rowOff>
    </xdr:from>
    <xdr:to>
      <xdr:col>6</xdr:col>
      <xdr:colOff>171450</xdr:colOff>
      <xdr:row>293</xdr:row>
      <xdr:rowOff>76200</xdr:rowOff>
    </xdr:to>
    <xdr:graphicFrame>
      <xdr:nvGraphicFramePr>
        <xdr:cNvPr id="1" name="Chart 1"/>
        <xdr:cNvGraphicFramePr/>
      </xdr:nvGraphicFramePr>
      <xdr:xfrm>
        <a:off x="685800" y="70056375"/>
        <a:ext cx="37147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328</xdr:row>
      <xdr:rowOff>142875</xdr:rowOff>
    </xdr:from>
    <xdr:to>
      <xdr:col>5</xdr:col>
      <xdr:colOff>609600</xdr:colOff>
      <xdr:row>337</xdr:row>
      <xdr:rowOff>123825</xdr:rowOff>
    </xdr:to>
    <xdr:graphicFrame>
      <xdr:nvGraphicFramePr>
        <xdr:cNvPr id="2" name="Chart 2"/>
        <xdr:cNvGraphicFramePr/>
      </xdr:nvGraphicFramePr>
      <xdr:xfrm>
        <a:off x="809625" y="81372075"/>
        <a:ext cx="32956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200025</xdr:colOff>
      <xdr:row>61</xdr:row>
      <xdr:rowOff>76200</xdr:rowOff>
    </xdr:from>
    <xdr:to>
      <xdr:col>3</xdr:col>
      <xdr:colOff>276225</xdr:colOff>
      <xdr:row>62</xdr:row>
      <xdr:rowOff>161925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518285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64</xdr:row>
      <xdr:rowOff>76200</xdr:rowOff>
    </xdr:from>
    <xdr:to>
      <xdr:col>5</xdr:col>
      <xdr:colOff>104775</xdr:colOff>
      <xdr:row>65</xdr:row>
      <xdr:rowOff>190500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5925800"/>
          <a:ext cx="2733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66</xdr:row>
      <xdr:rowOff>142875</xdr:rowOff>
    </xdr:from>
    <xdr:to>
      <xdr:col>5</xdr:col>
      <xdr:colOff>19050</xdr:colOff>
      <xdr:row>68</xdr:row>
      <xdr:rowOff>19050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6487775"/>
          <a:ext cx="2647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99</xdr:row>
      <xdr:rowOff>57150</xdr:rowOff>
    </xdr:from>
    <xdr:to>
      <xdr:col>4</xdr:col>
      <xdr:colOff>647700</xdr:colOff>
      <xdr:row>112</xdr:row>
      <xdr:rowOff>104775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24574500"/>
          <a:ext cx="25908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247</xdr:row>
      <xdr:rowOff>123825</xdr:rowOff>
    </xdr:from>
    <xdr:to>
      <xdr:col>8</xdr:col>
      <xdr:colOff>619125</xdr:colOff>
      <xdr:row>258</xdr:row>
      <xdr:rowOff>123825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61293375"/>
          <a:ext cx="60769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3</xdr:col>
      <xdr:colOff>0</xdr:colOff>
      <xdr:row>260</xdr:row>
      <xdr:rowOff>180975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64389000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6</xdr:col>
      <xdr:colOff>295275</xdr:colOff>
      <xdr:row>263</xdr:row>
      <xdr:rowOff>85725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64884300"/>
          <a:ext cx="3152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4</xdr:col>
      <xdr:colOff>0</xdr:colOff>
      <xdr:row>265</xdr:row>
      <xdr:rowOff>104775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" y="653796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267</xdr:row>
      <xdr:rowOff>47625</xdr:rowOff>
    </xdr:from>
    <xdr:to>
      <xdr:col>4</xdr:col>
      <xdr:colOff>666750</xdr:colOff>
      <xdr:row>267</xdr:row>
      <xdr:rowOff>228600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0650" y="66170175"/>
          <a:ext cx="2047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268</xdr:row>
      <xdr:rowOff>76200</xdr:rowOff>
    </xdr:from>
    <xdr:to>
      <xdr:col>5</xdr:col>
      <xdr:colOff>638175</xdr:colOff>
      <xdr:row>269</xdr:row>
      <xdr:rowOff>161925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66446400"/>
          <a:ext cx="2771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3</xdr:col>
      <xdr:colOff>323850</xdr:colOff>
      <xdr:row>243</xdr:row>
      <xdr:rowOff>180975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71600" y="60178950"/>
          <a:ext cx="1019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244</xdr:row>
      <xdr:rowOff>57150</xdr:rowOff>
    </xdr:from>
    <xdr:to>
      <xdr:col>3</xdr:col>
      <xdr:colOff>390525</xdr:colOff>
      <xdr:row>244</xdr:row>
      <xdr:rowOff>247650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1125" y="60483750"/>
          <a:ext cx="1076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225</xdr:row>
      <xdr:rowOff>38100</xdr:rowOff>
    </xdr:from>
    <xdr:to>
      <xdr:col>5</xdr:col>
      <xdr:colOff>657225</xdr:colOff>
      <xdr:row>238</xdr:row>
      <xdr:rowOff>200025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55759350"/>
          <a:ext cx="36004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302</xdr:row>
      <xdr:rowOff>66675</xdr:rowOff>
    </xdr:from>
    <xdr:to>
      <xdr:col>5</xdr:col>
      <xdr:colOff>723900</xdr:colOff>
      <xdr:row>315</xdr:row>
      <xdr:rowOff>85725</xdr:rowOff>
    </xdr:to>
    <xdr:pic>
      <xdr:nvPicPr>
        <xdr:cNvPr id="16" name="Picture 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4400" y="74856975"/>
          <a:ext cx="3305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70</xdr:row>
      <xdr:rowOff>104775</xdr:rowOff>
    </xdr:from>
    <xdr:to>
      <xdr:col>4</xdr:col>
      <xdr:colOff>695325</xdr:colOff>
      <xdr:row>84</xdr:row>
      <xdr:rowOff>66675</xdr:rowOff>
    </xdr:to>
    <xdr:pic>
      <xdr:nvPicPr>
        <xdr:cNvPr id="17" name="Picture 9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5375" y="17440275"/>
          <a:ext cx="2371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143</xdr:row>
      <xdr:rowOff>57150</xdr:rowOff>
    </xdr:from>
    <xdr:to>
      <xdr:col>5</xdr:col>
      <xdr:colOff>361950</xdr:colOff>
      <xdr:row>155</xdr:row>
      <xdr:rowOff>85725</xdr:rowOff>
    </xdr:to>
    <xdr:pic>
      <xdr:nvPicPr>
        <xdr:cNvPr id="18" name="Picture 1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35471100"/>
          <a:ext cx="37623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240</xdr:row>
      <xdr:rowOff>76200</xdr:rowOff>
    </xdr:from>
    <xdr:to>
      <xdr:col>3</xdr:col>
      <xdr:colOff>685800</xdr:colOff>
      <xdr:row>241</xdr:row>
      <xdr:rowOff>190500</xdr:rowOff>
    </xdr:to>
    <xdr:pic>
      <xdr:nvPicPr>
        <xdr:cNvPr id="19" name="Picture 1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6275" y="59512200"/>
          <a:ext cx="2076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161</xdr:row>
      <xdr:rowOff>76200</xdr:rowOff>
    </xdr:from>
    <xdr:to>
      <xdr:col>8</xdr:col>
      <xdr:colOff>285750</xdr:colOff>
      <xdr:row>171</xdr:row>
      <xdr:rowOff>142875</xdr:rowOff>
    </xdr:to>
    <xdr:pic>
      <xdr:nvPicPr>
        <xdr:cNvPr id="20" name="Picture 10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" y="39947850"/>
          <a:ext cx="56769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173</xdr:row>
      <xdr:rowOff>28575</xdr:rowOff>
    </xdr:from>
    <xdr:to>
      <xdr:col>3</xdr:col>
      <xdr:colOff>9525</xdr:colOff>
      <xdr:row>173</xdr:row>
      <xdr:rowOff>209550</xdr:rowOff>
    </xdr:to>
    <xdr:pic>
      <xdr:nvPicPr>
        <xdr:cNvPr id="21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1125" y="42872025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6</xdr:col>
      <xdr:colOff>295275</xdr:colOff>
      <xdr:row>176</xdr:row>
      <xdr:rowOff>85725</xdr:rowOff>
    </xdr:to>
    <xdr:pic>
      <xdr:nvPicPr>
        <xdr:cNvPr id="22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43338750"/>
          <a:ext cx="3152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4</xdr:col>
      <xdr:colOff>0</xdr:colOff>
      <xdr:row>178</xdr:row>
      <xdr:rowOff>104775</xdr:rowOff>
    </xdr:to>
    <xdr:pic>
      <xdr:nvPicPr>
        <xdr:cNvPr id="23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" y="4383405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3</xdr:col>
      <xdr:colOff>419100</xdr:colOff>
      <xdr:row>180</xdr:row>
      <xdr:rowOff>180975</xdr:rowOff>
    </xdr:to>
    <xdr:pic>
      <xdr:nvPicPr>
        <xdr:cNvPr id="24" name="Picture 10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71600" y="44577000"/>
          <a:ext cx="1114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47625</xdr:rowOff>
    </xdr:from>
    <xdr:to>
      <xdr:col>3</xdr:col>
      <xdr:colOff>628650</xdr:colOff>
      <xdr:row>182</xdr:row>
      <xdr:rowOff>133350</xdr:rowOff>
    </xdr:to>
    <xdr:pic>
      <xdr:nvPicPr>
        <xdr:cNvPr id="25" name="Picture 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71600" y="44872275"/>
          <a:ext cx="132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196</xdr:row>
      <xdr:rowOff>66675</xdr:rowOff>
    </xdr:from>
    <xdr:to>
      <xdr:col>6</xdr:col>
      <xdr:colOff>95250</xdr:colOff>
      <xdr:row>206</xdr:row>
      <xdr:rowOff>76200</xdr:rowOff>
    </xdr:to>
    <xdr:graphicFrame>
      <xdr:nvGraphicFramePr>
        <xdr:cNvPr id="26" name="Chart 110"/>
        <xdr:cNvGraphicFramePr/>
      </xdr:nvGraphicFramePr>
      <xdr:xfrm>
        <a:off x="685800" y="48606075"/>
        <a:ext cx="3638550" cy="2486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1</xdr:col>
      <xdr:colOff>123825</xdr:colOff>
      <xdr:row>373</xdr:row>
      <xdr:rowOff>209550</xdr:rowOff>
    </xdr:from>
    <xdr:to>
      <xdr:col>5</xdr:col>
      <xdr:colOff>704850</xdr:colOff>
      <xdr:row>390</xdr:row>
      <xdr:rowOff>200025</xdr:rowOff>
    </xdr:to>
    <xdr:pic>
      <xdr:nvPicPr>
        <xdr:cNvPr id="27" name="Picture 1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9625" y="92583000"/>
          <a:ext cx="33909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400</xdr:row>
      <xdr:rowOff>114300</xdr:rowOff>
    </xdr:from>
    <xdr:to>
      <xdr:col>4</xdr:col>
      <xdr:colOff>457200</xdr:colOff>
      <xdr:row>416</xdr:row>
      <xdr:rowOff>95250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71575" y="99174300"/>
          <a:ext cx="20574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26</xdr:row>
      <xdr:rowOff>114300</xdr:rowOff>
    </xdr:from>
    <xdr:to>
      <xdr:col>4</xdr:col>
      <xdr:colOff>685800</xdr:colOff>
      <xdr:row>36</xdr:row>
      <xdr:rowOff>209550</xdr:rowOff>
    </xdr:to>
    <xdr:graphicFrame>
      <xdr:nvGraphicFramePr>
        <xdr:cNvPr id="29" name="Chart 115"/>
        <xdr:cNvGraphicFramePr/>
      </xdr:nvGraphicFramePr>
      <xdr:xfrm>
        <a:off x="257175" y="6553200"/>
        <a:ext cx="3200400" cy="25717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0</xdr:col>
      <xdr:colOff>485775</xdr:colOff>
      <xdr:row>1</xdr:row>
      <xdr:rowOff>152400</xdr:rowOff>
    </xdr:from>
    <xdr:to>
      <xdr:col>5</xdr:col>
      <xdr:colOff>438150</xdr:colOff>
      <xdr:row>15</xdr:row>
      <xdr:rowOff>152400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5775" y="400050"/>
          <a:ext cx="34480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123825</xdr:rowOff>
    </xdr:from>
    <xdr:to>
      <xdr:col>3</xdr:col>
      <xdr:colOff>104775</xdr:colOff>
      <xdr:row>159</xdr:row>
      <xdr:rowOff>0</xdr:rowOff>
    </xdr:to>
    <xdr:pic>
      <xdr:nvPicPr>
        <xdr:cNvPr id="31" name="Picture 1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4375" y="390048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342</xdr:row>
      <xdr:rowOff>219075</xdr:rowOff>
    </xdr:from>
    <xdr:to>
      <xdr:col>8</xdr:col>
      <xdr:colOff>133350</xdr:colOff>
      <xdr:row>354</xdr:row>
      <xdr:rowOff>66675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0" y="84915375"/>
          <a:ext cx="54006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371475</xdr:colOff>
      <xdr:row>41</xdr:row>
      <xdr:rowOff>142875</xdr:rowOff>
    </xdr:from>
    <xdr:to>
      <xdr:col>35</xdr:col>
      <xdr:colOff>476250</xdr:colOff>
      <xdr:row>69</xdr:row>
      <xdr:rowOff>161925</xdr:rowOff>
    </xdr:to>
    <xdr:graphicFrame>
      <xdr:nvGraphicFramePr>
        <xdr:cNvPr id="1" name="Chart 398"/>
        <xdr:cNvGraphicFramePr/>
      </xdr:nvGraphicFramePr>
      <xdr:xfrm>
        <a:off x="16830675" y="7296150"/>
        <a:ext cx="7648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41</xdr:row>
      <xdr:rowOff>161925</xdr:rowOff>
    </xdr:from>
    <xdr:to>
      <xdr:col>24</xdr:col>
      <xdr:colOff>104775</xdr:colOff>
      <xdr:row>70</xdr:row>
      <xdr:rowOff>38100</xdr:rowOff>
    </xdr:to>
    <xdr:graphicFrame>
      <xdr:nvGraphicFramePr>
        <xdr:cNvPr id="2" name="Chart 399"/>
        <xdr:cNvGraphicFramePr/>
      </xdr:nvGraphicFramePr>
      <xdr:xfrm>
        <a:off x="8867775" y="7315200"/>
        <a:ext cx="7696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6"/>
  <sheetViews>
    <sheetView showGridLines="0" showRowColHeaders="0" tabSelected="1" workbookViewId="0" topLeftCell="A4">
      <selection activeCell="I37" sqref="I37"/>
    </sheetView>
  </sheetViews>
  <sheetFormatPr defaultColWidth="9.00390625" defaultRowHeight="19.5" customHeight="1"/>
  <cols>
    <col min="1" max="2" width="9.00390625" style="35" customWidth="1"/>
    <col min="3" max="16384" width="9.00390625" style="37" customWidth="1"/>
  </cols>
  <sheetData>
    <row r="1" ht="19.5" customHeight="1">
      <c r="A1" s="37" t="s">
        <v>203</v>
      </c>
    </row>
    <row r="2" spans="1:6" ht="19.5" customHeight="1">
      <c r="A2" s="35" t="s">
        <v>70</v>
      </c>
      <c r="B2" s="35" t="s">
        <v>73</v>
      </c>
      <c r="C2" s="36" t="s">
        <v>69</v>
      </c>
      <c r="D2" s="73">
        <v>5</v>
      </c>
      <c r="E2" s="37" t="s">
        <v>16</v>
      </c>
      <c r="F2" s="66" t="str">
        <f>IF(D12=0,"常時","地震時")</f>
        <v>常時</v>
      </c>
    </row>
    <row r="3" spans="2:5" ht="19.5" customHeight="1">
      <c r="B3" s="35" t="s">
        <v>157</v>
      </c>
      <c r="C3" s="36" t="s">
        <v>4</v>
      </c>
      <c r="D3" s="73">
        <v>0.5</v>
      </c>
      <c r="E3" s="37" t="s">
        <v>16</v>
      </c>
    </row>
    <row r="4" spans="2:4" ht="19.5" customHeight="1">
      <c r="B4" s="35" t="s">
        <v>68</v>
      </c>
      <c r="C4" s="38" t="s">
        <v>100</v>
      </c>
      <c r="D4" s="73">
        <v>0.5</v>
      </c>
    </row>
    <row r="5" spans="2:5" ht="19.5" customHeight="1">
      <c r="B5" s="35" t="s">
        <v>86</v>
      </c>
      <c r="C5" s="36" t="s">
        <v>90</v>
      </c>
      <c r="D5" s="73">
        <v>23</v>
      </c>
      <c r="E5" s="37" t="s">
        <v>92</v>
      </c>
    </row>
    <row r="6" spans="1:5" ht="19.5" customHeight="1">
      <c r="A6" s="35" t="s">
        <v>71</v>
      </c>
      <c r="B6" s="35" t="s">
        <v>72</v>
      </c>
      <c r="C6" s="36" t="s">
        <v>1</v>
      </c>
      <c r="D6" s="73">
        <v>3</v>
      </c>
      <c r="E6" s="37" t="s">
        <v>16</v>
      </c>
    </row>
    <row r="7" spans="2:5" ht="19.5" customHeight="1">
      <c r="B7" s="35" t="s">
        <v>74</v>
      </c>
      <c r="C7" s="36" t="s">
        <v>52</v>
      </c>
      <c r="D7" s="73">
        <v>0.2</v>
      </c>
      <c r="E7" s="37" t="s">
        <v>16</v>
      </c>
    </row>
    <row r="8" spans="2:4" ht="19.5" customHeight="1">
      <c r="B8" s="35" t="s">
        <v>75</v>
      </c>
      <c r="C8" s="38" t="s">
        <v>101</v>
      </c>
      <c r="D8" s="73">
        <v>0.5</v>
      </c>
    </row>
    <row r="9" spans="2:4" ht="19.5" customHeight="1">
      <c r="B9" s="35" t="s">
        <v>76</v>
      </c>
      <c r="C9" s="38" t="s">
        <v>102</v>
      </c>
      <c r="D9" s="73">
        <v>0</v>
      </c>
    </row>
    <row r="10" spans="2:5" ht="19.5" customHeight="1">
      <c r="B10" s="35" t="s">
        <v>86</v>
      </c>
      <c r="C10" s="36" t="s">
        <v>91</v>
      </c>
      <c r="D10" s="73">
        <v>23</v>
      </c>
      <c r="E10" s="37" t="s">
        <v>92</v>
      </c>
    </row>
    <row r="11" spans="1:5" ht="19.5" customHeight="1">
      <c r="A11" s="35" t="s">
        <v>82</v>
      </c>
      <c r="B11" s="35" t="s">
        <v>83</v>
      </c>
      <c r="C11" s="36" t="s">
        <v>28</v>
      </c>
      <c r="D11" s="73">
        <v>10</v>
      </c>
      <c r="E11" s="37" t="s">
        <v>29</v>
      </c>
    </row>
    <row r="12" spans="1:4" ht="19.5" customHeight="1">
      <c r="A12" s="35" t="s">
        <v>84</v>
      </c>
      <c r="B12" s="35" t="s">
        <v>80</v>
      </c>
      <c r="C12" s="36" t="s">
        <v>79</v>
      </c>
      <c r="D12" s="73">
        <v>0</v>
      </c>
    </row>
    <row r="13" spans="1:5" ht="19.5" customHeight="1">
      <c r="A13" s="35" t="s">
        <v>85</v>
      </c>
      <c r="B13" s="35" t="s">
        <v>77</v>
      </c>
      <c r="C13" s="36" t="s">
        <v>99</v>
      </c>
      <c r="D13" s="73">
        <v>0</v>
      </c>
      <c r="E13" s="37" t="s">
        <v>16</v>
      </c>
    </row>
    <row r="14" spans="2:4" ht="19.5" customHeight="1">
      <c r="B14" s="35" t="s">
        <v>78</v>
      </c>
      <c r="C14" s="38" t="s">
        <v>103</v>
      </c>
      <c r="D14" s="73">
        <v>1.5</v>
      </c>
    </row>
    <row r="15" spans="2:5" ht="19.5" customHeight="1">
      <c r="B15" s="35" t="s">
        <v>86</v>
      </c>
      <c r="C15" s="36" t="s">
        <v>88</v>
      </c>
      <c r="D15" s="73">
        <v>20</v>
      </c>
      <c r="E15" s="37" t="s">
        <v>92</v>
      </c>
    </row>
    <row r="16" spans="2:5" ht="19.5" customHeight="1">
      <c r="B16" s="35" t="s">
        <v>87</v>
      </c>
      <c r="C16" s="36" t="s">
        <v>89</v>
      </c>
      <c r="D16" s="73">
        <v>35</v>
      </c>
      <c r="E16" s="37" t="s">
        <v>93</v>
      </c>
    </row>
    <row r="17" spans="2:5" ht="19.5" customHeight="1">
      <c r="B17" s="35" t="s">
        <v>94</v>
      </c>
      <c r="C17" s="36" t="s">
        <v>95</v>
      </c>
      <c r="D17" s="73">
        <v>23.3</v>
      </c>
      <c r="E17" s="37" t="s">
        <v>93</v>
      </c>
    </row>
    <row r="18" spans="1:5" ht="19.5" customHeight="1">
      <c r="A18" s="35" t="s">
        <v>237</v>
      </c>
      <c r="B18" s="35" t="s">
        <v>238</v>
      </c>
      <c r="C18" s="36" t="s">
        <v>239</v>
      </c>
      <c r="D18" s="73">
        <v>1.5</v>
      </c>
      <c r="E18" s="37" t="s">
        <v>16</v>
      </c>
    </row>
    <row r="19" spans="2:5" ht="19.5" customHeight="1">
      <c r="B19" s="35" t="s">
        <v>86</v>
      </c>
      <c r="C19" s="36" t="s">
        <v>88</v>
      </c>
      <c r="D19" s="73">
        <v>19</v>
      </c>
      <c r="E19" s="37" t="s">
        <v>92</v>
      </c>
    </row>
    <row r="20" spans="2:5" ht="19.5" customHeight="1">
      <c r="B20" s="35" t="s">
        <v>87</v>
      </c>
      <c r="C20" s="36" t="s">
        <v>89</v>
      </c>
      <c r="D20" s="73">
        <v>30</v>
      </c>
      <c r="E20" s="37" t="s">
        <v>93</v>
      </c>
    </row>
    <row r="21" spans="2:5" ht="19.5" customHeight="1">
      <c r="B21" s="35" t="s">
        <v>240</v>
      </c>
      <c r="C21" s="36" t="s">
        <v>241</v>
      </c>
      <c r="D21" s="73">
        <v>10</v>
      </c>
      <c r="E21" s="37" t="s">
        <v>29</v>
      </c>
    </row>
    <row r="22" spans="2:4" ht="19.5" customHeight="1">
      <c r="B22" s="74" t="s">
        <v>242</v>
      </c>
      <c r="C22" s="75"/>
      <c r="D22" s="73">
        <v>0.5</v>
      </c>
    </row>
    <row r="23" spans="1:4" ht="19.5" customHeight="1">
      <c r="A23" s="35" t="s">
        <v>96</v>
      </c>
      <c r="B23" s="35" t="s">
        <v>97</v>
      </c>
      <c r="C23" s="36" t="s">
        <v>98</v>
      </c>
      <c r="D23" s="73">
        <v>0.6</v>
      </c>
    </row>
    <row r="24" spans="2:5" ht="19.5" customHeight="1">
      <c r="B24" s="35" t="s">
        <v>164</v>
      </c>
      <c r="C24" s="36" t="s">
        <v>162</v>
      </c>
      <c r="D24" s="73">
        <v>300</v>
      </c>
      <c r="E24" s="37" t="s">
        <v>29</v>
      </c>
    </row>
    <row r="26" ht="19.5" customHeight="1">
      <c r="A26" s="37" t="s">
        <v>204</v>
      </c>
    </row>
    <row r="27" ht="19.5" customHeight="1">
      <c r="B27" s="37" t="str">
        <f>"転倒　 "&amp;'出力'!S431&amp;'出力'!T431&amp;'出力'!U431&amp;'出力'!V431&amp;'出力'!W431&amp;'出力'!X431</f>
        <v>転倒　 ea=0.36m&gt;|e|=0.23m   (OK)</v>
      </c>
    </row>
    <row r="28" ht="19.5" customHeight="1">
      <c r="B28" s="37" t="str">
        <f>"滑動 "&amp;'出力'!S447&amp;'出力'!T447&amp;'出力'!U447&amp;'出力'!W447&amp;'出力'!Y447</f>
        <v>滑動 Fs=1.55&gt;1.5   (OK)</v>
      </c>
    </row>
    <row r="29" ht="19.5" customHeight="1">
      <c r="B29" s="37" t="str">
        <f>"支持 "&amp;'出力'!S462&amp;'出力'!T462&amp;'出力'!U462&amp;'出力'!V462&amp;'出力'!W462&amp;'出力'!X462&amp;'出力'!Y462</f>
        <v>支持 qmax=148.88kN/m2&lt;qa=300kN/m2   (OK)</v>
      </c>
    </row>
    <row r="30" ht="19.5" customHeight="1">
      <c r="B30" s="37"/>
    </row>
    <row r="31" ht="19.5" customHeight="1">
      <c r="B31" s="37"/>
    </row>
    <row r="32" ht="19.5" customHeight="1">
      <c r="B32" s="37"/>
    </row>
    <row r="33" ht="27.75" customHeight="1">
      <c r="B33" s="37"/>
    </row>
    <row r="34" ht="19.5" customHeight="1">
      <c r="B34" s="37"/>
    </row>
    <row r="35" ht="19.5" customHeight="1">
      <c r="B35" s="37"/>
    </row>
    <row r="36" ht="19.5" customHeight="1">
      <c r="B36" s="37"/>
    </row>
  </sheetData>
  <mergeCells count="1">
    <mergeCell ref="B22:C22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67"/>
  <sheetViews>
    <sheetView showGridLines="0" workbookViewId="0" topLeftCell="A448">
      <selection activeCell="G451" sqref="G451"/>
    </sheetView>
  </sheetViews>
  <sheetFormatPr defaultColWidth="9.00390625" defaultRowHeight="19.5" customHeight="1"/>
  <cols>
    <col min="1" max="2" width="9.00390625" style="20" customWidth="1"/>
    <col min="3" max="3" width="9.125" style="20" bestFit="1" customWidth="1"/>
    <col min="4" max="4" width="9.25390625" style="20" bestFit="1" customWidth="1"/>
    <col min="5" max="5" width="9.50390625" style="20" bestFit="1" customWidth="1"/>
    <col min="6" max="7" width="9.625" style="20" bestFit="1" customWidth="1"/>
    <col min="8" max="19" width="9.00390625" style="20" customWidth="1"/>
    <col min="20" max="20" width="12.125" style="20" bestFit="1" customWidth="1"/>
    <col min="21" max="16384" width="9.00390625" style="20" customWidth="1"/>
  </cols>
  <sheetData>
    <row r="1" ht="19.5" customHeight="1">
      <c r="A1" s="20" t="s">
        <v>104</v>
      </c>
    </row>
    <row r="2" ht="19.5" customHeight="1">
      <c r="A2" s="21" t="s">
        <v>256</v>
      </c>
    </row>
    <row r="17" spans="1:3" ht="19.5" customHeight="1">
      <c r="A17" s="21" t="s">
        <v>257</v>
      </c>
      <c r="B17" s="21"/>
      <c r="C17" s="21"/>
    </row>
    <row r="18" spans="1:21" ht="19.5" customHeight="1">
      <c r="A18" s="21"/>
      <c r="B18" s="22" t="s">
        <v>73</v>
      </c>
      <c r="C18" s="23" t="str">
        <f>S18&amp;T18&amp;U18</f>
        <v>H1=5m</v>
      </c>
      <c r="S18" s="20" t="s">
        <v>0</v>
      </c>
      <c r="T18" s="20">
        <f>'入力'!D2</f>
        <v>5</v>
      </c>
      <c r="U18" s="20" t="s">
        <v>16</v>
      </c>
    </row>
    <row r="19" spans="1:21" ht="19.5" customHeight="1">
      <c r="A19" s="21"/>
      <c r="B19" s="22" t="s">
        <v>157</v>
      </c>
      <c r="C19" s="23" t="str">
        <f>S19&amp;T19&amp;U19</f>
        <v>t=0.5m</v>
      </c>
      <c r="S19" s="20" t="s">
        <v>4</v>
      </c>
      <c r="T19" s="20">
        <f>'入力'!D3</f>
        <v>0.5</v>
      </c>
      <c r="U19" s="20" t="s">
        <v>14</v>
      </c>
    </row>
    <row r="20" spans="1:22" ht="19.5" customHeight="1">
      <c r="A20" s="21"/>
      <c r="B20" s="22" t="s">
        <v>68</v>
      </c>
      <c r="C20" s="23" t="str">
        <f>"1 : n1= 1 : "&amp;T20</f>
        <v>1 : n1= 1 : 0.5</v>
      </c>
      <c r="S20" s="20" t="s">
        <v>2</v>
      </c>
      <c r="T20" s="20">
        <f>'入力'!D4</f>
        <v>0.5</v>
      </c>
      <c r="V20" s="20">
        <f>-'入力'!D4</f>
        <v>-0.5</v>
      </c>
    </row>
    <row r="21" spans="1:21" ht="19.5" customHeight="1">
      <c r="A21" s="21"/>
      <c r="B21" s="21" t="str">
        <f>"単位体積重量  "&amp;S21&amp;T21&amp;U21</f>
        <v>単位体積重量  γc1=23kN/m3</v>
      </c>
      <c r="C21" s="23"/>
      <c r="S21" s="20" t="s">
        <v>90</v>
      </c>
      <c r="T21" s="20">
        <f>'入力'!D5</f>
        <v>23</v>
      </c>
      <c r="U21" s="20" t="s">
        <v>10</v>
      </c>
    </row>
    <row r="22" spans="1:3" ht="19.5" customHeight="1">
      <c r="A22" s="21" t="s">
        <v>258</v>
      </c>
      <c r="B22" s="21"/>
      <c r="C22" s="21"/>
    </row>
    <row r="23" spans="1:21" ht="19.5" customHeight="1">
      <c r="A23" s="21"/>
      <c r="B23" s="22" t="s">
        <v>72</v>
      </c>
      <c r="C23" s="23" t="str">
        <f>S23&amp;T23&amp;U23</f>
        <v>H2=3m</v>
      </c>
      <c r="S23" s="20" t="s">
        <v>1</v>
      </c>
      <c r="T23" s="20">
        <f>'入力'!D6</f>
        <v>3</v>
      </c>
      <c r="U23" s="20" t="s">
        <v>16</v>
      </c>
    </row>
    <row r="24" spans="1:21" ht="19.5" customHeight="1">
      <c r="A24" s="21"/>
      <c r="B24" s="22" t="s">
        <v>74</v>
      </c>
      <c r="C24" s="23" t="str">
        <f>S24&amp;T24&amp;U24</f>
        <v>bs=0.2m</v>
      </c>
      <c r="S24" s="20" t="s">
        <v>52</v>
      </c>
      <c r="T24" s="20">
        <f>'入力'!D7</f>
        <v>0.2</v>
      </c>
      <c r="U24" s="20" t="s">
        <v>16</v>
      </c>
    </row>
    <row r="25" spans="2:20" ht="19.5" customHeight="1">
      <c r="B25" s="22" t="s">
        <v>75</v>
      </c>
      <c r="C25" s="23" t="str">
        <f>"1 : n2= 1 : "&amp;T25</f>
        <v>1 : n2= 1 : 0.5</v>
      </c>
      <c r="S25" s="20" t="s">
        <v>3</v>
      </c>
      <c r="T25" s="20">
        <f>'入力'!D8</f>
        <v>0.5</v>
      </c>
    </row>
    <row r="26" spans="2:20" ht="19.5" customHeight="1">
      <c r="B26" s="22" t="s">
        <v>76</v>
      </c>
      <c r="C26" s="23" t="str">
        <f>"1 : n3= 1 : "&amp;T26</f>
        <v>1 : n3= 1 : 0</v>
      </c>
      <c r="S26" s="20" t="s">
        <v>51</v>
      </c>
      <c r="T26" s="20">
        <f>'入力'!D9</f>
        <v>0</v>
      </c>
    </row>
    <row r="27" spans="6:21" ht="19.5" customHeight="1">
      <c r="F27" s="21" t="s">
        <v>153</v>
      </c>
      <c r="G27" s="39"/>
      <c r="H27" s="39"/>
      <c r="S27" s="20" t="s">
        <v>158</v>
      </c>
      <c r="T27" s="20">
        <f>'入力'!D10</f>
        <v>23</v>
      </c>
      <c r="U27" s="20" t="s">
        <v>10</v>
      </c>
    </row>
    <row r="28" spans="2:8" ht="19.5" customHeight="1">
      <c r="B28" s="21"/>
      <c r="F28" s="40" t="s">
        <v>150</v>
      </c>
      <c r="G28" s="41" t="s">
        <v>152</v>
      </c>
      <c r="H28" s="42" t="s">
        <v>151</v>
      </c>
    </row>
    <row r="29" spans="2:8" ht="19.5" customHeight="1">
      <c r="B29" s="21"/>
      <c r="F29" s="43">
        <f>'主働土圧'!O6</f>
        <v>0</v>
      </c>
      <c r="G29" s="44">
        <f>'主働土圧'!P6</f>
        <v>0</v>
      </c>
      <c r="H29" s="45">
        <f>'主働土圧'!Q6</f>
        <v>0</v>
      </c>
    </row>
    <row r="30" spans="2:8" ht="19.5" customHeight="1">
      <c r="B30" s="21"/>
      <c r="F30" s="43">
        <f>'主働土圧'!O7</f>
        <v>1</v>
      </c>
      <c r="G30" s="44">
        <f>'主働土圧'!P7</f>
        <v>1.5</v>
      </c>
      <c r="H30" s="45">
        <f>'主働土圧'!Q7</f>
        <v>3</v>
      </c>
    </row>
    <row r="31" spans="2:8" ht="19.5" customHeight="1">
      <c r="B31" s="21"/>
      <c r="F31" s="43">
        <f>'主働土圧'!O8</f>
        <v>2</v>
      </c>
      <c r="G31" s="44">
        <f>'主働土圧'!P8</f>
        <v>1.7</v>
      </c>
      <c r="H31" s="45">
        <f>'主働土圧'!Q8</f>
        <v>3</v>
      </c>
    </row>
    <row r="32" spans="2:8" ht="19.5" customHeight="1">
      <c r="B32" s="21"/>
      <c r="F32" s="43">
        <f>'主働土圧'!O9</f>
        <v>3</v>
      </c>
      <c r="G32" s="44">
        <f>'主働土圧'!P9</f>
        <v>4.2</v>
      </c>
      <c r="H32" s="45">
        <f>'主働土圧'!Q9</f>
        <v>8</v>
      </c>
    </row>
    <row r="33" spans="2:8" ht="19.5" customHeight="1">
      <c r="B33" s="21"/>
      <c r="F33" s="43">
        <f>'主働土圧'!O10</f>
        <v>4</v>
      </c>
      <c r="G33" s="44">
        <f>'主働土圧'!P10</f>
        <v>4.759</v>
      </c>
      <c r="H33" s="45">
        <f>'主働土圧'!Q10</f>
        <v>8</v>
      </c>
    </row>
    <row r="34" spans="2:8" ht="19.5" customHeight="1">
      <c r="B34" s="21"/>
      <c r="F34" s="43">
        <f>'主働土圧'!O11</f>
        <v>5</v>
      </c>
      <c r="G34" s="44">
        <f>'主働土圧'!P11</f>
        <v>2.149</v>
      </c>
      <c r="H34" s="45">
        <f>'主働土圧'!Q11</f>
        <v>2.7800000000000002</v>
      </c>
    </row>
    <row r="35" spans="2:8" ht="19.5" customHeight="1">
      <c r="B35" s="21"/>
      <c r="F35" s="46">
        <f>'主働土圧'!O12</f>
        <v>6</v>
      </c>
      <c r="G35" s="47">
        <f>'主働土圧'!P12</f>
        <v>2.149</v>
      </c>
      <c r="H35" s="48">
        <f>'主働土圧'!Q12</f>
        <v>0</v>
      </c>
    </row>
    <row r="36" ht="19.5" customHeight="1">
      <c r="B36" s="21"/>
    </row>
    <row r="37" ht="19.5" customHeight="1">
      <c r="B37" s="21"/>
    </row>
    <row r="38" ht="19.5" customHeight="1">
      <c r="A38" s="20" t="s">
        <v>259</v>
      </c>
    </row>
    <row r="39" spans="1:21" ht="19.5" customHeight="1">
      <c r="A39" s="22"/>
      <c r="B39" s="21" t="str">
        <f>"自動車荷重 "&amp;S39&amp;T39&amp;U39</f>
        <v>自動車荷重 q=10kN/m2</v>
      </c>
      <c r="S39" s="20" t="s">
        <v>28</v>
      </c>
      <c r="T39" s="20">
        <f>'入力'!D11</f>
        <v>10</v>
      </c>
      <c r="U39" s="20" t="s">
        <v>29</v>
      </c>
    </row>
    <row r="40" spans="1:2" ht="19.5" customHeight="1">
      <c r="A40" s="20" t="s">
        <v>260</v>
      </c>
      <c r="B40" s="21"/>
    </row>
    <row r="41" spans="1:20" ht="19.5" customHeight="1">
      <c r="A41" s="22"/>
      <c r="B41" s="21" t="str">
        <f>"設計水平震度　"&amp;S41&amp;T41</f>
        <v>設計水平震度　kH=0</v>
      </c>
      <c r="S41" s="20" t="s">
        <v>15</v>
      </c>
      <c r="T41" s="20">
        <f>'入力'!D12</f>
        <v>0</v>
      </c>
    </row>
    <row r="42" spans="1:2" ht="19.5" customHeight="1">
      <c r="A42" s="20" t="s">
        <v>261</v>
      </c>
      <c r="B42" s="21"/>
    </row>
    <row r="43" spans="1:21" ht="19.5" customHeight="1">
      <c r="A43" s="22"/>
      <c r="B43" s="21" t="str">
        <f>"嵩上げ高 "&amp;S43&amp;T43&amp;U43</f>
        <v>嵩上げ高 H0=0m</v>
      </c>
      <c r="S43" s="20" t="s">
        <v>22</v>
      </c>
      <c r="T43" s="20">
        <f>'入力'!D13</f>
        <v>0</v>
      </c>
      <c r="U43" s="20" t="s">
        <v>16</v>
      </c>
    </row>
    <row r="44" spans="1:22" ht="19.5" customHeight="1">
      <c r="A44" s="22"/>
      <c r="B44" s="21" t="str">
        <f>"盛土勾配 １：ｍ＝１： "&amp;T44</f>
        <v>盛土勾配 １：ｍ＝１： 1.5</v>
      </c>
      <c r="S44" s="20" t="s">
        <v>23</v>
      </c>
      <c r="T44" s="20">
        <f>ROUND(V44,3)</f>
        <v>1.5</v>
      </c>
      <c r="V44" s="20">
        <f>IF('入力'!D14=0,0.0000001,'入力'!D14)</f>
        <v>1.5</v>
      </c>
    </row>
    <row r="45" spans="1:21" ht="19.5" customHeight="1">
      <c r="A45" s="22"/>
      <c r="B45" s="21" t="str">
        <f>"単位体積重量  "&amp;S45&amp;T45&amp;U45</f>
        <v>単位体積重量  γ=20kN/m3</v>
      </c>
      <c r="S45" s="20" t="s">
        <v>17</v>
      </c>
      <c r="T45" s="20">
        <f>'入力'!D15</f>
        <v>20</v>
      </c>
      <c r="U45" s="20" t="s">
        <v>10</v>
      </c>
    </row>
    <row r="46" spans="1:23" ht="19.5" customHeight="1">
      <c r="A46" s="22"/>
      <c r="B46" s="21" t="str">
        <f>"内部摩擦角  "&amp;S46&amp;T46&amp;U46</f>
        <v>内部摩擦角  φ=35度</v>
      </c>
      <c r="S46" s="20" t="s">
        <v>18</v>
      </c>
      <c r="T46" s="20">
        <f>'入力'!D16</f>
        <v>35</v>
      </c>
      <c r="U46" s="20" t="s">
        <v>160</v>
      </c>
      <c r="V46" s="20">
        <f>T46*PI()/180</f>
        <v>0.6108652381980153</v>
      </c>
      <c r="W46" s="20" t="s">
        <v>7</v>
      </c>
    </row>
    <row r="47" spans="1:21" ht="19.5" customHeight="1">
      <c r="A47" s="22"/>
      <c r="B47" s="21" t="str">
        <f>"壁面摩擦角  "&amp;S47&amp;T47&amp;U47</f>
        <v>壁面摩擦角  δ=23.3度</v>
      </c>
      <c r="S47" s="20" t="s">
        <v>159</v>
      </c>
      <c r="T47" s="20">
        <f>'入力'!D17</f>
        <v>23.3</v>
      </c>
      <c r="U47" s="20" t="s">
        <v>160</v>
      </c>
    </row>
    <row r="48" spans="1:2" ht="19.5" customHeight="1">
      <c r="A48" s="21" t="s">
        <v>262</v>
      </c>
      <c r="B48" s="21"/>
    </row>
    <row r="49" spans="1:21" ht="19.5" customHeight="1">
      <c r="A49" s="22"/>
      <c r="B49" s="33" t="str">
        <f>"根入れ深さ "&amp;S49&amp;T49&amp;U49</f>
        <v>根入れ深さ Df=1.5m</v>
      </c>
      <c r="D49" s="33"/>
      <c r="S49" s="72" t="s">
        <v>239</v>
      </c>
      <c r="T49" s="20">
        <f>'入力'!D18</f>
        <v>1.5</v>
      </c>
      <c r="U49" s="20" t="str">
        <f>'入力'!E18</f>
        <v>m</v>
      </c>
    </row>
    <row r="50" spans="1:21" ht="19.5" customHeight="1">
      <c r="A50" s="22"/>
      <c r="B50" s="33" t="str">
        <f>"単位重量"&amp;S50&amp;T50&amp;U50</f>
        <v>単位重量γ=19kN/m3</v>
      </c>
      <c r="D50" s="33"/>
      <c r="S50" s="72" t="s">
        <v>88</v>
      </c>
      <c r="T50" s="20">
        <f>'入力'!D19</f>
        <v>19</v>
      </c>
      <c r="U50" s="20" t="str">
        <f>'入力'!E19</f>
        <v>kN/m3</v>
      </c>
    </row>
    <row r="51" spans="1:21" ht="19.5" customHeight="1">
      <c r="A51" s="22"/>
      <c r="B51" s="33" t="str">
        <f>"内部摩擦角"&amp;S51&amp;T51&amp;U51</f>
        <v>内部摩擦角φ=30度</v>
      </c>
      <c r="D51" s="33"/>
      <c r="S51" s="72" t="s">
        <v>89</v>
      </c>
      <c r="T51" s="20">
        <f>'入力'!D20</f>
        <v>30</v>
      </c>
      <c r="U51" s="20" t="str">
        <f>'入力'!E20</f>
        <v>度</v>
      </c>
    </row>
    <row r="52" spans="1:21" ht="19.5" customHeight="1">
      <c r="A52" s="22"/>
      <c r="B52" s="33" t="str">
        <f>"粘着力"&amp;S52&amp;T52&amp;U52</f>
        <v>粘着力c=10kN/m2</v>
      </c>
      <c r="D52" s="33"/>
      <c r="S52" s="72" t="s">
        <v>241</v>
      </c>
      <c r="T52" s="20">
        <f>'入力'!D21</f>
        <v>10</v>
      </c>
      <c r="U52" s="20" t="str">
        <f>'入力'!E21</f>
        <v>kN/m2</v>
      </c>
    </row>
    <row r="53" spans="1:20" ht="19.5" customHeight="1">
      <c r="A53" s="22"/>
      <c r="B53" s="33" t="str">
        <f>"受働土圧有効係数"&amp;S53&amp;T53</f>
        <v>受働土圧有効係数α=0.5</v>
      </c>
      <c r="C53" s="33"/>
      <c r="D53" s="33"/>
      <c r="S53" s="28" t="s">
        <v>244</v>
      </c>
      <c r="T53" s="20">
        <f>'入力'!D22</f>
        <v>0.5</v>
      </c>
    </row>
    <row r="54" spans="1:4" ht="19.5" customHeight="1">
      <c r="A54" s="21" t="s">
        <v>263</v>
      </c>
      <c r="B54" s="33"/>
      <c r="C54" s="33"/>
      <c r="D54" s="33"/>
    </row>
    <row r="55" spans="1:20" ht="19.5" customHeight="1">
      <c r="A55" s="21"/>
      <c r="B55" s="21" t="str">
        <f>"摩擦係数  "&amp;S55&amp;T55</f>
        <v>摩擦係数  μ=0.6</v>
      </c>
      <c r="S55" s="20" t="s">
        <v>161</v>
      </c>
      <c r="T55" s="20">
        <f>'入力'!D23</f>
        <v>0.6</v>
      </c>
    </row>
    <row r="56" spans="1:21" ht="19.5" customHeight="1">
      <c r="A56" s="21"/>
      <c r="B56" s="21" t="str">
        <f>"許容支持力度 "&amp;S56&amp;T56&amp;U56</f>
        <v>許容支持力度 qa=300kN/m2</v>
      </c>
      <c r="S56" s="20" t="s">
        <v>162</v>
      </c>
      <c r="T56" s="20">
        <f>'入力'!D24</f>
        <v>300</v>
      </c>
      <c r="U56" s="20" t="s">
        <v>163</v>
      </c>
    </row>
    <row r="57" ht="19.5" customHeight="1">
      <c r="A57" s="21"/>
    </row>
    <row r="58" ht="19.5" customHeight="1">
      <c r="A58" s="20" t="s">
        <v>215</v>
      </c>
    </row>
    <row r="59" ht="19.5" customHeight="1">
      <c r="A59" s="20" t="s">
        <v>217</v>
      </c>
    </row>
    <row r="60" ht="19.5" customHeight="1">
      <c r="B60" s="20" t="s">
        <v>165</v>
      </c>
    </row>
    <row r="61" ht="19.5" customHeight="1">
      <c r="B61" s="20" t="s">
        <v>166</v>
      </c>
    </row>
    <row r="64" ht="19.5" customHeight="1">
      <c r="B64" s="20" t="s">
        <v>167</v>
      </c>
    </row>
    <row r="70" ht="19.5" customHeight="1">
      <c r="A70" s="20" t="s">
        <v>216</v>
      </c>
    </row>
    <row r="86" spans="2:7" ht="19.5" customHeight="1">
      <c r="B86" s="15" t="s">
        <v>55</v>
      </c>
      <c r="C86" s="24" t="s">
        <v>105</v>
      </c>
      <c r="D86" s="24" t="s">
        <v>106</v>
      </c>
      <c r="E86" s="24" t="s">
        <v>137</v>
      </c>
      <c r="F86" s="24" t="s">
        <v>138</v>
      </c>
      <c r="G86" s="25" t="s">
        <v>139</v>
      </c>
    </row>
    <row r="87" spans="2:7" ht="19.5" customHeight="1">
      <c r="B87" s="13">
        <v>2</v>
      </c>
      <c r="C87" s="26">
        <f>'主働土圧'!P8</f>
        <v>1.7</v>
      </c>
      <c r="D87" s="26">
        <f>'主働土圧'!Q8</f>
        <v>3</v>
      </c>
      <c r="E87" s="14">
        <f>ROUND((C88*D87-C87*D88)/2,2)</f>
        <v>-0.5</v>
      </c>
      <c r="F87" s="14">
        <f>ROUND(-1/2*(D88-D87)*(C87^2+1/3*(C88-C87)*(C88+2*C87)),2)</f>
        <v>-23.06</v>
      </c>
      <c r="G87" s="18">
        <f>ROUND(1/2*(C88-C87)*(D87^2+1/3*(D88-D87)*(D88+2*D87)),2)</f>
        <v>40.42</v>
      </c>
    </row>
    <row r="88" spans="2:7" ht="19.5" customHeight="1">
      <c r="B88" s="13">
        <v>3</v>
      </c>
      <c r="C88" s="26">
        <f>'主働土圧'!P9</f>
        <v>4.2</v>
      </c>
      <c r="D88" s="26">
        <f>'主働土圧'!Q9</f>
        <v>8</v>
      </c>
      <c r="E88" s="14">
        <f>ROUND((C89*D88-C88*D89)/2,2)</f>
        <v>2.24</v>
      </c>
      <c r="F88" s="14">
        <f>ROUND(-1/2*(D89-D88)*(C88^2+1/3*(C89-C88)*(C89+2*C88)),2)</f>
        <v>0</v>
      </c>
      <c r="G88" s="18">
        <f>ROUND(1/2*(C89-C88)*(D88^2+1/3*(D89-D88)*(D89+2*D88)),2)</f>
        <v>17.89</v>
      </c>
    </row>
    <row r="89" spans="2:7" ht="19.5" customHeight="1">
      <c r="B89" s="13">
        <v>4</v>
      </c>
      <c r="C89" s="26">
        <f>'主働土圧'!P10</f>
        <v>4.759</v>
      </c>
      <c r="D89" s="26">
        <f>'主働土圧'!Q10</f>
        <v>8</v>
      </c>
      <c r="E89" s="14">
        <f>ROUND((C90*D89-C89*D90)/2,2)</f>
        <v>1.98</v>
      </c>
      <c r="F89" s="14">
        <f>ROUND(-1/2*(D90-D89)*(C89^2+1/3*(C90-C89)*(C90+2*C89)),2)</f>
        <v>32.62</v>
      </c>
      <c r="G89" s="18">
        <f>ROUND(1/2*(C90-C89)*(D89^2+1/3*(D90-D89)*(D90+2*D89)),2)</f>
        <v>-40.88</v>
      </c>
    </row>
    <row r="90" spans="2:7" ht="19.5" customHeight="1">
      <c r="B90" s="13">
        <v>5</v>
      </c>
      <c r="C90" s="26">
        <f>'主働土圧'!P11</f>
        <v>2.149</v>
      </c>
      <c r="D90" s="26">
        <f>'主働土圧'!Q11</f>
        <v>2.7800000000000002</v>
      </c>
      <c r="E90" s="14">
        <f>ROUND((C91*D90-C90*D91)/2,2)</f>
        <v>-0.86</v>
      </c>
      <c r="F90" s="14">
        <f>ROUND(-1/2*(D91-D90)*(C90^2+1/3*(C91-C90)*(C91+2*C90)),2)</f>
        <v>-0.41</v>
      </c>
      <c r="G90" s="18">
        <f>ROUND(1/2*(C91-C90)*(D90^2+1/3*(D91-D90)*(D91+2*D90)),2)</f>
        <v>-1.88</v>
      </c>
    </row>
    <row r="91" spans="2:7" ht="19.5" customHeight="1">
      <c r="B91" s="13">
        <v>2</v>
      </c>
      <c r="C91" s="26">
        <f>C87</f>
        <v>1.7</v>
      </c>
      <c r="D91" s="26">
        <f>D87</f>
        <v>3</v>
      </c>
      <c r="E91" s="14">
        <v>0</v>
      </c>
      <c r="F91" s="14">
        <v>0</v>
      </c>
      <c r="G91" s="18">
        <v>0</v>
      </c>
    </row>
    <row r="92" spans="2:7" ht="19.5" customHeight="1">
      <c r="B92" s="15" t="s">
        <v>107</v>
      </c>
      <c r="C92" s="27" t="s">
        <v>140</v>
      </c>
      <c r="D92" s="27" t="s">
        <v>140</v>
      </c>
      <c r="E92" s="16">
        <f>SUM(E87:E91)</f>
        <v>2.8600000000000003</v>
      </c>
      <c r="F92" s="16">
        <f>SUM(F87:F91)</f>
        <v>9.149999999999999</v>
      </c>
      <c r="G92" s="19">
        <f>SUM(G87:G91)</f>
        <v>15.55</v>
      </c>
    </row>
    <row r="93" spans="3:21" ht="19.5" customHeight="1">
      <c r="C93" s="20" t="s">
        <v>108</v>
      </c>
      <c r="D93" s="20" t="str">
        <f>S93&amp;T93&amp;U93</f>
        <v>Ac1=2.86m2</v>
      </c>
      <c r="S93" s="20" t="s">
        <v>113</v>
      </c>
      <c r="T93" s="20">
        <f>E92</f>
        <v>2.8600000000000003</v>
      </c>
      <c r="U93" s="20" t="s">
        <v>109</v>
      </c>
    </row>
    <row r="94" spans="3:21" ht="19.5" customHeight="1">
      <c r="C94" s="20" t="s">
        <v>110</v>
      </c>
      <c r="D94" s="20" t="str">
        <f>"Wc1=γc1×Ac1="&amp;T21&amp;"×"&amp;T93&amp;"="&amp;T94&amp;U94</f>
        <v>Wc1=γc1×Ac1=23×2.86=65.78kN/m</v>
      </c>
      <c r="S94" s="20" t="s">
        <v>114</v>
      </c>
      <c r="T94" s="20">
        <f>ROUND(T93*'入力'!D5,2)</f>
        <v>65.78</v>
      </c>
      <c r="U94" s="20" t="s">
        <v>12</v>
      </c>
    </row>
    <row r="95" spans="3:21" ht="19.5" customHeight="1">
      <c r="C95" s="20" t="s">
        <v>112</v>
      </c>
      <c r="D95" s="20" t="str">
        <f>"xc1=Gx/Ac1="&amp;F92&amp;"/"&amp;E92&amp;"="&amp;T95&amp;U95</f>
        <v>xc1=Gx/Ac1=9.15/2.86=3.2m</v>
      </c>
      <c r="S95" s="20" t="s">
        <v>154</v>
      </c>
      <c r="T95" s="20">
        <f>ROUND(F92/T93,2)</f>
        <v>3.2</v>
      </c>
      <c r="U95" s="20" t="s">
        <v>13</v>
      </c>
    </row>
    <row r="96" spans="4:21" ht="19.5" customHeight="1">
      <c r="D96" s="20" t="str">
        <f>"yc1=Gy/Ac1="&amp;G92&amp;"/"&amp;E92&amp;"="&amp;T96&amp;U96</f>
        <v>yc1=Gy/Ac1=15.55/2.86=5.44m</v>
      </c>
      <c r="S96" s="20" t="s">
        <v>155</v>
      </c>
      <c r="T96" s="20">
        <f>ROUND(G92/E92,2)</f>
        <v>5.44</v>
      </c>
      <c r="U96" s="20" t="s">
        <v>13</v>
      </c>
    </row>
    <row r="98" ht="19.5" customHeight="1">
      <c r="A98" s="20" t="s">
        <v>218</v>
      </c>
    </row>
    <row r="114" spans="2:7" ht="19.5" customHeight="1">
      <c r="B114" s="15" t="s">
        <v>55</v>
      </c>
      <c r="C114" s="24" t="s">
        <v>105</v>
      </c>
      <c r="D114" s="24" t="s">
        <v>106</v>
      </c>
      <c r="E114" s="24" t="s">
        <v>137</v>
      </c>
      <c r="F114" s="24" t="s">
        <v>138</v>
      </c>
      <c r="G114" s="25" t="s">
        <v>139</v>
      </c>
    </row>
    <row r="115" spans="2:7" ht="19.5" customHeight="1">
      <c r="B115" s="13">
        <v>0</v>
      </c>
      <c r="C115" s="26">
        <v>0</v>
      </c>
      <c r="D115" s="26">
        <v>0</v>
      </c>
      <c r="E115" s="14">
        <f>ROUND((C116*D115-C115*D116)/2,2)</f>
        <v>0</v>
      </c>
      <c r="F115" s="14">
        <f>ROUND(-1/2*(D116-D115)*(C115^2+1/3*(C116-C115)*(C116+2*C115)),2)</f>
        <v>-1.13</v>
      </c>
      <c r="G115" s="18">
        <f>ROUND(1/2*(C116-C115)*(D115^2+1/3*(D116-D115)*(D116+2*D115)),2)</f>
        <v>2.25</v>
      </c>
    </row>
    <row r="116" spans="2:7" ht="19.5" customHeight="1">
      <c r="B116" s="13">
        <f>B115+1</f>
        <v>1</v>
      </c>
      <c r="C116" s="26">
        <f>'主働土圧'!P7</f>
        <v>1.5</v>
      </c>
      <c r="D116" s="26">
        <f>'主働土圧'!Q7</f>
        <v>3</v>
      </c>
      <c r="E116" s="14">
        <f>ROUND((C117*D116-C116*D117)/2,2)</f>
        <v>0.3</v>
      </c>
      <c r="F116" s="14">
        <f>ROUND(-1/2*(D117-D116)*(C116^2+1/3*(C117-C116)*(C117+2*C116)),2)</f>
        <v>0</v>
      </c>
      <c r="G116" s="18">
        <f>ROUND(1/2*(C117-C116)*(D116^2+1/3*(D117-D116)*(D117+2*D116)),2)</f>
        <v>0.9</v>
      </c>
    </row>
    <row r="117" spans="2:7" ht="19.5" customHeight="1">
      <c r="B117" s="13">
        <f>B116+1</f>
        <v>2</v>
      </c>
      <c r="C117" s="26">
        <f>'主働土圧'!P8</f>
        <v>1.7</v>
      </c>
      <c r="D117" s="26">
        <f>'主働土圧'!Q8</f>
        <v>3</v>
      </c>
      <c r="E117" s="14">
        <f>ROUND((C118*D117-C117*D118)/2,2)</f>
        <v>0.86</v>
      </c>
      <c r="F117" s="14">
        <f>ROUND(-1/2*(D118-D117)*(C117^2+1/3*(C118-C117)*(C118+2*C117)),2)</f>
        <v>0.41</v>
      </c>
      <c r="G117" s="18">
        <f>ROUND(1/2*(C118-C117)*(D117^2+1/3*(D118-D117)*(D118+2*D117)),2)</f>
        <v>1.88</v>
      </c>
    </row>
    <row r="118" spans="2:7" ht="19.5" customHeight="1">
      <c r="B118" s="13">
        <v>5</v>
      </c>
      <c r="C118" s="26">
        <f>'主働土圧'!P11</f>
        <v>2.149</v>
      </c>
      <c r="D118" s="26">
        <f>'主働土圧'!Q11</f>
        <v>2.7800000000000002</v>
      </c>
      <c r="E118" s="14">
        <f>ROUND((C119*D118-C118*D119)/2,2)</f>
        <v>2.99</v>
      </c>
      <c r="F118" s="14">
        <f>ROUND(-1/2*(D119-D118)*(C118^2+1/3*(C119-C118)*(C119+2*C118)),2)</f>
        <v>6.42</v>
      </c>
      <c r="G118" s="18">
        <f>ROUND(1/2*(C119-C118)*(D118^2+1/3*(D119-D118)*(D119+2*D118)),2)</f>
        <v>0</v>
      </c>
    </row>
    <row r="119" spans="2:7" ht="19.5" customHeight="1">
      <c r="B119" s="13">
        <f>B118+1</f>
        <v>6</v>
      </c>
      <c r="C119" s="26">
        <f>'主働土圧'!P12</f>
        <v>2.149</v>
      </c>
      <c r="D119" s="26">
        <f>'主働土圧'!Q12</f>
        <v>0</v>
      </c>
      <c r="E119" s="14">
        <f>ROUND((C120*D119-C119*D120)/2,2)</f>
        <v>0</v>
      </c>
      <c r="F119" s="14">
        <f>ROUND(-1/2*(D120-D119)*(C119^2+1/3*(C120-C119)*(C120+2*C119)),2)</f>
        <v>0</v>
      </c>
      <c r="G119" s="18">
        <f>ROUND(1/2*(C120-C119)*(D119^2+1/3*(D120-D119)*(D120+2*D119)),2)</f>
        <v>0</v>
      </c>
    </row>
    <row r="120" spans="2:7" ht="19.5" customHeight="1">
      <c r="B120" s="13">
        <v>0</v>
      </c>
      <c r="C120" s="26">
        <v>0</v>
      </c>
      <c r="D120" s="26">
        <v>0</v>
      </c>
      <c r="E120" s="14">
        <v>0</v>
      </c>
      <c r="F120" s="14">
        <v>0</v>
      </c>
      <c r="G120" s="18">
        <v>0</v>
      </c>
    </row>
    <row r="121" spans="2:7" ht="19.5" customHeight="1">
      <c r="B121" s="15" t="s">
        <v>107</v>
      </c>
      <c r="C121" s="27" t="s">
        <v>140</v>
      </c>
      <c r="D121" s="27" t="s">
        <v>140</v>
      </c>
      <c r="E121" s="16">
        <f>SUM(E115:E120)</f>
        <v>4.15</v>
      </c>
      <c r="F121" s="16">
        <f>SUM(F115:F120)</f>
        <v>5.7</v>
      </c>
      <c r="G121" s="19">
        <f>SUM(G115:G120)</f>
        <v>5.029999999999999</v>
      </c>
    </row>
    <row r="122" spans="2:7" ht="19.5" customHeight="1">
      <c r="B122" s="28"/>
      <c r="C122" s="28"/>
      <c r="D122" s="28"/>
      <c r="E122" s="28"/>
      <c r="F122" s="28"/>
      <c r="G122" s="28"/>
    </row>
    <row r="123" spans="3:21" ht="19.5" customHeight="1">
      <c r="C123" s="20" t="s">
        <v>108</v>
      </c>
      <c r="D123" s="20" t="str">
        <f>S123&amp;T123&amp;U123</f>
        <v>Ac2=4.15m2</v>
      </c>
      <c r="S123" s="20" t="s">
        <v>122</v>
      </c>
      <c r="T123" s="20">
        <f>E121</f>
        <v>4.15</v>
      </c>
      <c r="U123" s="20" t="s">
        <v>109</v>
      </c>
    </row>
    <row r="124" spans="3:21" ht="19.5" customHeight="1">
      <c r="C124" s="20" t="s">
        <v>110</v>
      </c>
      <c r="D124" s="20" t="str">
        <f>"Wc2=γc2×Ac2="&amp;T27&amp;"×"&amp;T123&amp;"="&amp;T124&amp;U124</f>
        <v>Wc2=γc2×Ac2=23×4.15=95.45kN</v>
      </c>
      <c r="S124" s="20" t="s">
        <v>123</v>
      </c>
      <c r="T124" s="20">
        <f>ROUND(T123*'入力'!D10,2)</f>
        <v>95.45</v>
      </c>
      <c r="U124" s="20" t="s">
        <v>111</v>
      </c>
    </row>
    <row r="125" spans="3:21" ht="19.5" customHeight="1">
      <c r="C125" s="20" t="s">
        <v>112</v>
      </c>
      <c r="D125" s="20" t="str">
        <f>"xc2=Gx/Ac2="&amp;F121&amp;"/"&amp;E121&amp;"="&amp;T125&amp;U125</f>
        <v>xc2=Gx/Ac2=5.7/4.15=1.37m</v>
      </c>
      <c r="S125" s="20" t="s">
        <v>124</v>
      </c>
      <c r="T125" s="20">
        <f>ROUND(F121/T123-C115,2)</f>
        <v>1.37</v>
      </c>
      <c r="U125" s="20" t="s">
        <v>13</v>
      </c>
    </row>
    <row r="126" spans="4:21" ht="19.5" customHeight="1">
      <c r="D126" s="20" t="str">
        <f>"yc2=Gy/Ac2="&amp;G121&amp;"/"&amp;E121&amp;"="&amp;T126&amp;U126</f>
        <v>yc2=Gy/Ac2=5.03/4.15=1.21m</v>
      </c>
      <c r="S126" s="20" t="s">
        <v>125</v>
      </c>
      <c r="T126" s="20">
        <f>ROUND(G121/E121-D115,2)</f>
        <v>1.21</v>
      </c>
      <c r="U126" s="20" t="s">
        <v>13</v>
      </c>
    </row>
    <row r="128" ht="19.5" customHeight="1">
      <c r="A128" s="20" t="s">
        <v>219</v>
      </c>
    </row>
    <row r="129" ht="19.5" customHeight="1">
      <c r="A129" s="20" t="s">
        <v>170</v>
      </c>
    </row>
    <row r="130" spans="2:23" ht="19.5" customHeight="1">
      <c r="B130" s="20" t="str">
        <f>"tanα1=- n1=- "&amp;T20</f>
        <v>tanα1=- n1=- 0.5</v>
      </c>
      <c r="E130" s="20" t="str">
        <f>"α1=atan(-n1)=atan(-"&amp;T20&amp;")="&amp;V130&amp;W130</f>
        <v>α1=atan(-n1)=atan(-0.5)=-26.56度</v>
      </c>
      <c r="S130" s="20" t="s">
        <v>5</v>
      </c>
      <c r="T130" s="20">
        <f>ROUND(ATAN('出力'!V20),4)</f>
        <v>-0.4636</v>
      </c>
      <c r="U130" s="20" t="s">
        <v>7</v>
      </c>
      <c r="V130" s="20">
        <f>ROUND(T130*180/PI(),2)</f>
        <v>-26.56</v>
      </c>
      <c r="W130" s="20" t="s">
        <v>169</v>
      </c>
    </row>
    <row r="131" spans="2:23" ht="19.5" customHeight="1">
      <c r="B131" s="20" t="str">
        <f>"tanα2=n3="&amp;T26</f>
        <v>tanα2=n3=0</v>
      </c>
      <c r="E131" s="20" t="str">
        <f>"α2=atan(n3)=atan("&amp;T26&amp;")="&amp;V131&amp;W131</f>
        <v>α2=atan(n3)=atan(0)=0度</v>
      </c>
      <c r="S131" s="20" t="s">
        <v>6</v>
      </c>
      <c r="T131" s="20">
        <f>ROUND(ATAN('出力'!T26),4)</f>
        <v>0</v>
      </c>
      <c r="U131" s="20" t="s">
        <v>7</v>
      </c>
      <c r="V131" s="20">
        <f>ROUND(T131*180/PI(),2)</f>
        <v>0</v>
      </c>
      <c r="W131" s="20" t="s">
        <v>169</v>
      </c>
    </row>
    <row r="132" spans="2:23" ht="19.5" customHeight="1">
      <c r="B132" s="20" t="str">
        <f>"cotβ=m="&amp;T44</f>
        <v>cotβ=m=1.5</v>
      </c>
      <c r="E132" s="20" t="str">
        <f>"β=atan(1/m)=atan(1/"&amp;T44&amp;")="&amp;V132&amp;W132</f>
        <v>β=atan(1/m)=atan(1/1.5)=33.69度</v>
      </c>
      <c r="S132" s="20" t="s">
        <v>24</v>
      </c>
      <c r="T132" s="20">
        <f>ROUND(ATAN(1/V44),4)</f>
        <v>0.588</v>
      </c>
      <c r="U132" s="20" t="s">
        <v>7</v>
      </c>
      <c r="V132" s="20">
        <f>ROUND(T132*180/PI(),2)</f>
        <v>33.69</v>
      </c>
      <c r="W132" s="20" t="s">
        <v>169</v>
      </c>
    </row>
    <row r="133" spans="2:20" ht="19.5" customHeight="1">
      <c r="B133" s="20" t="str">
        <f>S133&amp;T133</f>
        <v>kH=0</v>
      </c>
      <c r="E133" s="20" t="str">
        <f>"θ=atan(kH)=atan("&amp;T133&amp;")="&amp;V134&amp;W134</f>
        <v>θ=atan(kH)=atan(0)=0度</v>
      </c>
      <c r="S133" s="20" t="s">
        <v>15</v>
      </c>
      <c r="T133" s="20">
        <f>T41</f>
        <v>0</v>
      </c>
    </row>
    <row r="134" spans="2:23" ht="19.5" customHeight="1">
      <c r="B134" s="20" t="str">
        <f>"h0="&amp;T43&amp;U43</f>
        <v>h0=0m</v>
      </c>
      <c r="D134" s="20" t="str">
        <f>"h1="&amp;T138&amp;U138</f>
        <v>h1=5.22m</v>
      </c>
      <c r="F134" s="20" t="str">
        <f>"h2="&amp;T139&amp;U139</f>
        <v>h2=2.78m</v>
      </c>
      <c r="S134" s="20" t="s">
        <v>171</v>
      </c>
      <c r="T134" s="20">
        <f>ROUND(ATAN(T133),4)</f>
        <v>0</v>
      </c>
      <c r="U134" s="20" t="s">
        <v>64</v>
      </c>
      <c r="V134" s="20">
        <f>ROUND(T134*180/PI(),2)</f>
        <v>0</v>
      </c>
      <c r="W134" s="20" t="s">
        <v>172</v>
      </c>
    </row>
    <row r="135" spans="2:23" ht="19.5" customHeight="1">
      <c r="B135" s="20" t="str">
        <f>"φ="&amp;T46&amp;U46</f>
        <v>φ=35度</v>
      </c>
      <c r="D135" s="20" t="str">
        <f>"γ="&amp;T45&amp;U45</f>
        <v>γ=20kN/m3</v>
      </c>
      <c r="F135" s="20" t="str">
        <f>"δ2="&amp;T47&amp;U47</f>
        <v>δ2=23.3度</v>
      </c>
      <c r="S135" s="20" t="s">
        <v>19</v>
      </c>
      <c r="T135" s="20">
        <f>ROUND(V46*2/3,4)</f>
        <v>0.4072</v>
      </c>
      <c r="U135" s="20" t="s">
        <v>64</v>
      </c>
      <c r="V135" s="20">
        <f>T47</f>
        <v>23.3</v>
      </c>
      <c r="W135" s="20" t="s">
        <v>172</v>
      </c>
    </row>
    <row r="136" spans="2:23" ht="19.5" customHeight="1">
      <c r="B136" s="20" t="str">
        <f>"q="&amp;T39&amp;U39</f>
        <v>q=10kN/m2</v>
      </c>
      <c r="S136" s="20" t="s">
        <v>232</v>
      </c>
      <c r="T136" s="20">
        <f>T135</f>
        <v>0.4072</v>
      </c>
      <c r="U136" s="20" t="s">
        <v>64</v>
      </c>
      <c r="V136" s="20">
        <f>V135</f>
        <v>23.3</v>
      </c>
      <c r="W136" s="20" t="s">
        <v>172</v>
      </c>
    </row>
    <row r="137" ht="19.5" customHeight="1">
      <c r="B137" s="20" t="s">
        <v>168</v>
      </c>
    </row>
    <row r="138" spans="2:21" ht="19.5" customHeight="1">
      <c r="B138" s="20" t="str">
        <f>"h1=H1+t×n1="&amp;T18&amp;"+"&amp;T19&amp;"×"&amp;T20&amp;"="&amp;T138&amp;U138</f>
        <v>h1=H1+t×n1=5+0.5×0.5=5.22m</v>
      </c>
      <c r="S138" s="20" t="s">
        <v>11</v>
      </c>
      <c r="T138" s="20">
        <f>ROUND('出力'!T18-'出力'!T19*SIN('出力'!T130),2)</f>
        <v>5.22</v>
      </c>
      <c r="U138" s="20" t="s">
        <v>14</v>
      </c>
    </row>
    <row r="139" spans="2:21" ht="19.5" customHeight="1">
      <c r="B139" s="20" t="str">
        <f>"h2=H1+H2-h1="&amp;T18&amp;"+"&amp;T23&amp;"-"&amp;T138&amp;"="&amp;T139&amp;U139</f>
        <v>h2=H1+H2-h1=5+3-5.22=2.78m</v>
      </c>
      <c r="S139" s="20" t="s">
        <v>21</v>
      </c>
      <c r="T139" s="20">
        <f>('出力'!T18+'出力'!T23)-T138</f>
        <v>2.7800000000000002</v>
      </c>
      <c r="U139" s="20" t="s">
        <v>14</v>
      </c>
    </row>
    <row r="141" ht="19.5" customHeight="1">
      <c r="A141" s="20" t="s">
        <v>220</v>
      </c>
    </row>
    <row r="142" ht="19.5" customHeight="1">
      <c r="A142" s="20" t="s">
        <v>221</v>
      </c>
    </row>
    <row r="157" ht="19.5" customHeight="1">
      <c r="B157" s="20" t="s">
        <v>178</v>
      </c>
    </row>
    <row r="161" ht="19.5" customHeight="1">
      <c r="B161" s="20" t="s">
        <v>177</v>
      </c>
    </row>
    <row r="173" ht="19.5" customHeight="1">
      <c r="B173" s="20" t="s">
        <v>173</v>
      </c>
    </row>
    <row r="175" ht="19.5" customHeight="1">
      <c r="B175" s="20" t="s">
        <v>174</v>
      </c>
    </row>
    <row r="177" ht="19.5" customHeight="1">
      <c r="B177" s="20" t="s">
        <v>175</v>
      </c>
    </row>
    <row r="180" ht="19.5" customHeight="1">
      <c r="B180" s="20" t="s">
        <v>176</v>
      </c>
    </row>
    <row r="184" ht="19.5" customHeight="1">
      <c r="A184" s="20" t="s">
        <v>222</v>
      </c>
    </row>
    <row r="185" ht="19.5" customHeight="1">
      <c r="B185" s="20" t="str">
        <f>"すべり角ωを"&amp;B187&amp;"度から"&amp;B195&amp;"度まで1度刻みで変えて計算する。"</f>
        <v>すべり角ωを44度から52度まで1度刻みで変えて計算する。</v>
      </c>
    </row>
    <row r="186" spans="2:6" ht="19.5" customHeight="1">
      <c r="B186" s="15" t="s">
        <v>141</v>
      </c>
      <c r="C186" s="24" t="s">
        <v>142</v>
      </c>
      <c r="D186" s="29" t="s">
        <v>143</v>
      </c>
      <c r="E186" s="29" t="s">
        <v>144</v>
      </c>
      <c r="F186" s="30" t="s">
        <v>264</v>
      </c>
    </row>
    <row r="187" spans="2:6" ht="19.5" customHeight="1">
      <c r="B187" s="13">
        <f>'主働土圧'!C68</f>
        <v>44</v>
      </c>
      <c r="C187" s="14">
        <f>'主働土圧'!E68</f>
        <v>2.8</v>
      </c>
      <c r="D187" s="14">
        <f>'主働土圧'!F68</f>
        <v>145.92</v>
      </c>
      <c r="E187" s="14">
        <f>'主働土圧'!G68</f>
        <v>173.92</v>
      </c>
      <c r="F187" s="18">
        <f>'主働土圧'!B68</f>
        <v>27.84</v>
      </c>
    </row>
    <row r="188" spans="2:6" ht="19.5" customHeight="1">
      <c r="B188" s="13">
        <f>'主働土圧'!C69</f>
        <v>45</v>
      </c>
      <c r="C188" s="14">
        <f>'主働土圧'!E69</f>
        <v>2.61</v>
      </c>
      <c r="D188" s="14">
        <f>'主働土圧'!F69</f>
        <v>136.24</v>
      </c>
      <c r="E188" s="14">
        <f>'主働土圧'!G69</f>
        <v>162.34</v>
      </c>
      <c r="F188" s="18">
        <f>'主働土圧'!B69</f>
        <v>28.96</v>
      </c>
    </row>
    <row r="189" spans="2:6" ht="19.5" customHeight="1">
      <c r="B189" s="13">
        <f>'主働土圧'!C70</f>
        <v>46</v>
      </c>
      <c r="C189" s="14">
        <f>'主働土圧'!E70</f>
        <v>2.43</v>
      </c>
      <c r="D189" s="14">
        <f>'主働土圧'!F70</f>
        <v>126.89</v>
      </c>
      <c r="E189" s="14">
        <f>'主働土圧'!G70</f>
        <v>151.19</v>
      </c>
      <c r="F189" s="18">
        <f>'主働土圧'!B70</f>
        <v>29.76</v>
      </c>
    </row>
    <row r="190" spans="2:6" ht="19.5" customHeight="1">
      <c r="B190" s="13">
        <f>'主働土圧'!C71</f>
        <v>47</v>
      </c>
      <c r="C190" s="14">
        <f>'主働土圧'!E71</f>
        <v>2.26</v>
      </c>
      <c r="D190" s="14">
        <f>'主働土圧'!F71</f>
        <v>117.85</v>
      </c>
      <c r="E190" s="14">
        <f>'主働土圧'!G71</f>
        <v>140.45</v>
      </c>
      <c r="F190" s="18">
        <f>'主働土圧'!B71</f>
        <v>30.26</v>
      </c>
    </row>
    <row r="191" spans="2:7" ht="19.5" customHeight="1">
      <c r="B191" s="13">
        <f>'主働土圧'!C72</f>
        <v>48</v>
      </c>
      <c r="C191" s="14">
        <f>'主働土圧'!E72</f>
        <v>2.09</v>
      </c>
      <c r="D191" s="14">
        <f>'主働土圧'!F72</f>
        <v>109.1</v>
      </c>
      <c r="E191" s="14">
        <f>'主働土圧'!G72</f>
        <v>130</v>
      </c>
      <c r="F191" s="18">
        <f>'主働土圧'!B72</f>
        <v>30.46</v>
      </c>
      <c r="G191" s="20" t="s">
        <v>180</v>
      </c>
    </row>
    <row r="192" spans="2:6" ht="19.5" customHeight="1">
      <c r="B192" s="13">
        <f>'主働土圧'!C73</f>
        <v>49</v>
      </c>
      <c r="C192" s="14">
        <f>'主働土圧'!E73</f>
        <v>1.93</v>
      </c>
      <c r="D192" s="14">
        <f>'主働土圧'!F73</f>
        <v>100.62</v>
      </c>
      <c r="E192" s="14">
        <f>'主働土圧'!G73</f>
        <v>119.92</v>
      </c>
      <c r="F192" s="18">
        <f>'主働土圧'!B73</f>
        <v>30.37</v>
      </c>
    </row>
    <row r="193" spans="2:6" ht="19.5" customHeight="1">
      <c r="B193" s="13">
        <f>'主働土圧'!C74</f>
        <v>50</v>
      </c>
      <c r="C193" s="14">
        <f>'主働土圧'!E74</f>
        <v>1.77</v>
      </c>
      <c r="D193" s="14">
        <f>'主働土圧'!F74</f>
        <v>92.4</v>
      </c>
      <c r="E193" s="14">
        <f>'主働土圧'!G74</f>
        <v>110.1</v>
      </c>
      <c r="F193" s="18">
        <f>'主働土圧'!B74</f>
        <v>30</v>
      </c>
    </row>
    <row r="194" spans="2:6" ht="19.5" customHeight="1">
      <c r="B194" s="13">
        <f>'主働土圧'!C75</f>
        <v>51</v>
      </c>
      <c r="C194" s="14">
        <f>'主働土圧'!E75</f>
        <v>1.62</v>
      </c>
      <c r="D194" s="14">
        <f>'主働土圧'!F75</f>
        <v>84.41</v>
      </c>
      <c r="E194" s="14">
        <f>'主働土圧'!G75</f>
        <v>100.61</v>
      </c>
      <c r="F194" s="18">
        <f>'主働土圧'!B75</f>
        <v>29.37</v>
      </c>
    </row>
    <row r="195" spans="2:6" ht="19.5" customHeight="1">
      <c r="B195" s="17">
        <f>'主働土圧'!C76</f>
        <v>52</v>
      </c>
      <c r="C195" s="31">
        <f>'主働土圧'!E76</f>
        <v>1.47</v>
      </c>
      <c r="D195" s="31">
        <f>'主働土圧'!F76</f>
        <v>76.65</v>
      </c>
      <c r="E195" s="31">
        <f>'主働土圧'!G76</f>
        <v>91.35</v>
      </c>
      <c r="F195" s="32">
        <f>'主働土圧'!B76</f>
        <v>28.46</v>
      </c>
    </row>
    <row r="208" spans="2:4" ht="19.5" customHeight="1">
      <c r="B208" s="20" t="s">
        <v>181</v>
      </c>
      <c r="D208" s="20" t="str">
        <f>"ω="&amp;B191&amp;" 度"</f>
        <v>ω=48 度</v>
      </c>
    </row>
    <row r="209" spans="2:21" ht="19.5" customHeight="1">
      <c r="B209" s="20" t="s">
        <v>178</v>
      </c>
      <c r="D209" s="20" t="str">
        <f>S209&amp;T209&amp;U209</f>
        <v>PA1=30.46kN/m</v>
      </c>
      <c r="S209" s="20" t="s">
        <v>156</v>
      </c>
      <c r="T209" s="53">
        <f>F191</f>
        <v>30.46</v>
      </c>
      <c r="U209" s="20" t="s">
        <v>45</v>
      </c>
    </row>
    <row r="210" ht="19.5" customHeight="1">
      <c r="B210" s="20" t="s">
        <v>182</v>
      </c>
    </row>
    <row r="211" spans="3:21" ht="19.5" customHeight="1">
      <c r="C211" s="20" t="str">
        <f>"PAV1=PA2sin(α2+δ2)="&amp;T209&amp;"×sin("&amp;V130&amp;"+"&amp;T47&amp;")="&amp;T211&amp;U211</f>
        <v>PAV1=PA2sin(α2+δ2)=30.46×sin(-26.56+23.3)=-1.72kN/m</v>
      </c>
      <c r="S211" s="20" t="s">
        <v>265</v>
      </c>
      <c r="T211" s="20">
        <f>ROUND(T209*SIN($T$130+'主働土圧'!$C$8),2)</f>
        <v>-1.72</v>
      </c>
      <c r="U211" s="20" t="s">
        <v>45</v>
      </c>
    </row>
    <row r="212" ht="19.5" customHeight="1">
      <c r="B212" s="20" t="s">
        <v>183</v>
      </c>
    </row>
    <row r="213" spans="3:21" ht="19.5" customHeight="1">
      <c r="C213" s="20" t="str">
        <f>"PAH1=PA2cos(α2+δ2)="&amp;T209&amp;"×cos("&amp;V130&amp;"+"&amp;T47&amp;")="&amp;T213&amp;U213</f>
        <v>PAH1=PA2cos(α2+δ2)=30.46×cos(-26.56+23.3)=30.41kN/m</v>
      </c>
      <c r="S213" s="20" t="s">
        <v>266</v>
      </c>
      <c r="T213" s="20">
        <f>ROUND(T209*COS($T$130+'主働土圧'!$C$8),2)</f>
        <v>30.41</v>
      </c>
      <c r="U213" s="20" t="s">
        <v>45</v>
      </c>
    </row>
    <row r="214" ht="19.5" customHeight="1">
      <c r="B214" s="20" t="s">
        <v>224</v>
      </c>
    </row>
    <row r="216" spans="3:4" ht="19.5" customHeight="1">
      <c r="C216" s="49" t="str">
        <f>"xA1= "</f>
        <v>xA1= </v>
      </c>
      <c r="D216" s="20" t="s">
        <v>235</v>
      </c>
    </row>
    <row r="217" spans="3:21" ht="19.5" customHeight="1">
      <c r="C217" s="49" t="str">
        <f>"= "</f>
        <v>= </v>
      </c>
      <c r="D217" s="76" t="str">
        <f>T20&amp;"×("&amp;T221&amp;"-"&amp;T139&amp;")-"&amp;T26&amp;"×"&amp;T139&amp;"+"&amp;T418&amp;"="&amp;T217&amp;U217</f>
        <v>0.5×(4.66-2.78)-0×2.78+2.15=3.09m</v>
      </c>
      <c r="E217" s="76"/>
      <c r="F217" s="76"/>
      <c r="G217" s="76"/>
      <c r="S217" s="20" t="s">
        <v>225</v>
      </c>
      <c r="T217" s="20">
        <f>ROUND(T20*(T221-T139)-T26*T139+G35,2)</f>
        <v>3.09</v>
      </c>
      <c r="U217" s="20" t="s">
        <v>16</v>
      </c>
    </row>
    <row r="219" spans="3:6" ht="19.5" customHeight="1">
      <c r="C219" s="79" t="str">
        <f>"yA1= "</f>
        <v>yA1= </v>
      </c>
      <c r="D219" s="77" t="s">
        <v>233</v>
      </c>
      <c r="E219" s="77"/>
      <c r="F219" s="76" t="str">
        <f>"  +h2"</f>
        <v>  +h2</v>
      </c>
    </row>
    <row r="220" spans="3:6" ht="19.5" customHeight="1">
      <c r="C220" s="76"/>
      <c r="D220" s="78" t="s">
        <v>234</v>
      </c>
      <c r="E220" s="78"/>
      <c r="F220" s="76"/>
    </row>
    <row r="221" spans="3:21" ht="19.5" customHeight="1">
      <c r="C221" s="79" t="str">
        <f>"= "</f>
        <v>= </v>
      </c>
      <c r="D221" s="77" t="str">
        <f>T138&amp;"×(3×"&amp;T39&amp;"+"&amp;T45&amp;"×"&amp;T138&amp;")"</f>
        <v>5.22×(3×10+20×5.22)</v>
      </c>
      <c r="E221" s="77"/>
      <c r="F221" s="85"/>
      <c r="G221" s="76" t="str">
        <f>" +"&amp;T139&amp;"="&amp;T221&amp;U221</f>
        <v> +2.78=4.66m</v>
      </c>
      <c r="H221" s="76"/>
      <c r="S221" s="20" t="s">
        <v>226</v>
      </c>
      <c r="T221" s="20">
        <f>ROUND((T138*(3*T39+T45*T138))/(3*(2*T39+T45*T138))+T139,2)</f>
        <v>4.66</v>
      </c>
      <c r="U221" s="20" t="s">
        <v>16</v>
      </c>
    </row>
    <row r="222" spans="3:8" ht="19.5" customHeight="1">
      <c r="C222" s="79"/>
      <c r="D222" s="78" t="str">
        <f>"3×(2×"&amp;T39&amp;"+"&amp;T45&amp;"×"&amp;T138&amp;")"</f>
        <v>3×(2×10+20×5.22)</v>
      </c>
      <c r="E222" s="78"/>
      <c r="F222" s="86"/>
      <c r="G222" s="76"/>
      <c r="H222" s="76"/>
    </row>
    <row r="224" ht="19.5" customHeight="1">
      <c r="A224" s="20" t="s">
        <v>227</v>
      </c>
    </row>
    <row r="225" ht="19.5" customHeight="1">
      <c r="A225" s="20" t="s">
        <v>221</v>
      </c>
    </row>
    <row r="240" ht="19.5" customHeight="1">
      <c r="B240" s="20" t="s">
        <v>178</v>
      </c>
    </row>
    <row r="243" ht="19.5" customHeight="1">
      <c r="B243" s="20" t="s">
        <v>179</v>
      </c>
    </row>
    <row r="247" ht="19.5" customHeight="1">
      <c r="B247" s="20" t="s">
        <v>177</v>
      </c>
    </row>
    <row r="260" ht="19.5" customHeight="1">
      <c r="B260" s="20" t="s">
        <v>173</v>
      </c>
    </row>
    <row r="262" ht="19.5" customHeight="1">
      <c r="B262" s="20" t="s">
        <v>174</v>
      </c>
    </row>
    <row r="264" ht="19.5" customHeight="1">
      <c r="B264" s="20" t="s">
        <v>175</v>
      </c>
    </row>
    <row r="267" ht="19.5" customHeight="1">
      <c r="B267" s="20" t="s">
        <v>176</v>
      </c>
    </row>
    <row r="271" ht="19.5" customHeight="1">
      <c r="A271" s="20" t="s">
        <v>228</v>
      </c>
    </row>
    <row r="272" ht="19.5" customHeight="1">
      <c r="B272" s="20" t="str">
        <f>"すべり角ωを"&amp;B274&amp;"度から"&amp;B282&amp;"度まで1度刻みで変えて計算する。"</f>
        <v>すべり角ωを50度から58度まで1度刻みで変えて計算する。</v>
      </c>
    </row>
    <row r="273" spans="2:6" ht="19.5" customHeight="1">
      <c r="B273" s="15" t="s">
        <v>141</v>
      </c>
      <c r="C273" s="24" t="s">
        <v>142</v>
      </c>
      <c r="D273" s="29" t="s">
        <v>143</v>
      </c>
      <c r="E273" s="29" t="s">
        <v>144</v>
      </c>
      <c r="F273" s="30" t="s">
        <v>145</v>
      </c>
    </row>
    <row r="274" spans="2:6" ht="19.5" customHeight="1">
      <c r="B274" s="13">
        <f>'主働土圧'!C145</f>
        <v>50</v>
      </c>
      <c r="C274" s="14">
        <f>'主働土圧'!E145</f>
        <v>4.1</v>
      </c>
      <c r="D274" s="14">
        <f>'主働土圧'!F145</f>
        <v>400.8</v>
      </c>
      <c r="E274" s="14">
        <f>'主働土圧'!G145</f>
        <v>441.8</v>
      </c>
      <c r="F274" s="18">
        <f>'主働土圧'!B145</f>
        <v>86.32</v>
      </c>
    </row>
    <row r="275" spans="2:6" ht="19.5" customHeight="1">
      <c r="B275" s="13">
        <f>'主働土圧'!C146</f>
        <v>51</v>
      </c>
      <c r="C275" s="14">
        <f>'主働土圧'!E146</f>
        <v>3.87</v>
      </c>
      <c r="D275" s="14">
        <f>'主働土圧'!F146</f>
        <v>382.04</v>
      </c>
      <c r="E275" s="14">
        <f>'主働土圧'!G146</f>
        <v>420.74</v>
      </c>
      <c r="F275" s="18">
        <f>'主働土圧'!B146</f>
        <v>87.92</v>
      </c>
    </row>
    <row r="276" spans="2:6" ht="19.5" customHeight="1">
      <c r="B276" s="13">
        <f>'主働土圧'!C147</f>
        <v>52</v>
      </c>
      <c r="C276" s="14">
        <f>'主働土圧'!E147</f>
        <v>3.64</v>
      </c>
      <c r="D276" s="14">
        <f>'主働土圧'!F147</f>
        <v>363.8</v>
      </c>
      <c r="E276" s="14">
        <f>'主働土圧'!G147</f>
        <v>400.2</v>
      </c>
      <c r="F276" s="18">
        <f>'主働土圧'!B147</f>
        <v>88.96</v>
      </c>
    </row>
    <row r="277" spans="2:6" ht="19.5" customHeight="1">
      <c r="B277" s="13">
        <f>'主働土圧'!C148</f>
        <v>53</v>
      </c>
      <c r="C277" s="14">
        <f>'主働土圧'!E148</f>
        <v>3.42</v>
      </c>
      <c r="D277" s="14">
        <f>'主働土圧'!F148</f>
        <v>346.05</v>
      </c>
      <c r="E277" s="14">
        <f>'主働土圧'!G148</f>
        <v>380.25</v>
      </c>
      <c r="F277" s="18">
        <f>'主働土圧'!B148</f>
        <v>89.49</v>
      </c>
    </row>
    <row r="278" spans="2:7" ht="19.5" customHeight="1">
      <c r="B278" s="13">
        <f>'主働土圧'!C149</f>
        <v>54</v>
      </c>
      <c r="C278" s="14">
        <f>'主働土圧'!E149</f>
        <v>3.2</v>
      </c>
      <c r="D278" s="14">
        <f>'主働土圧'!F149</f>
        <v>328.76</v>
      </c>
      <c r="E278" s="14">
        <f>'主働土圧'!G149</f>
        <v>360.76</v>
      </c>
      <c r="F278" s="18">
        <f>'主働土圧'!B149</f>
        <v>89.51</v>
      </c>
      <c r="G278" s="20" t="s">
        <v>180</v>
      </c>
    </row>
    <row r="279" spans="2:6" ht="19.5" customHeight="1">
      <c r="B279" s="13">
        <f>'主働土圧'!C150</f>
        <v>55</v>
      </c>
      <c r="C279" s="14">
        <f>'主働土圧'!E150</f>
        <v>2.99</v>
      </c>
      <c r="D279" s="14">
        <f>'主働土圧'!F150</f>
        <v>311.91</v>
      </c>
      <c r="E279" s="14">
        <f>'主働土圧'!G150</f>
        <v>341.81</v>
      </c>
      <c r="F279" s="18">
        <f>'主働土圧'!B150</f>
        <v>89.06</v>
      </c>
    </row>
    <row r="280" spans="2:6" ht="19.5" customHeight="1">
      <c r="B280" s="13">
        <f>'主働土圧'!C151</f>
        <v>56</v>
      </c>
      <c r="C280" s="14">
        <f>'主働土圧'!E151</f>
        <v>2.79</v>
      </c>
      <c r="D280" s="14">
        <f>'主働土圧'!F151</f>
        <v>295.46</v>
      </c>
      <c r="E280" s="14">
        <f>'主働土圧'!G151</f>
        <v>323.36</v>
      </c>
      <c r="F280" s="18">
        <f>'主働土圧'!B151</f>
        <v>88.18</v>
      </c>
    </row>
    <row r="281" spans="2:6" ht="19.5" customHeight="1">
      <c r="B281" s="13">
        <f>'主働土圧'!C152</f>
        <v>57</v>
      </c>
      <c r="C281" s="14">
        <f>'主働土圧'!E152</f>
        <v>2.59</v>
      </c>
      <c r="D281" s="14">
        <f>'主働土圧'!F152</f>
        <v>279.4</v>
      </c>
      <c r="E281" s="14">
        <f>'主働土圧'!G152</f>
        <v>305.3</v>
      </c>
      <c r="F281" s="18">
        <f>'主働土圧'!B152</f>
        <v>86.84</v>
      </c>
    </row>
    <row r="282" spans="2:6" ht="19.5" customHeight="1">
      <c r="B282" s="17">
        <f>'主働土圧'!C153</f>
        <v>58</v>
      </c>
      <c r="C282" s="31">
        <f>'主働土圧'!E153</f>
        <v>2.39</v>
      </c>
      <c r="D282" s="31">
        <f>'主働土圧'!F153</f>
        <v>263.69</v>
      </c>
      <c r="E282" s="31">
        <f>'主働土圧'!G153</f>
        <v>287.59</v>
      </c>
      <c r="F282" s="32">
        <f>'主働土圧'!B153</f>
        <v>85.05</v>
      </c>
    </row>
    <row r="295" spans="2:4" ht="19.5" customHeight="1">
      <c r="B295" s="20" t="s">
        <v>181</v>
      </c>
      <c r="D295" s="20" t="str">
        <f>"ω="&amp;B278&amp;" 度"</f>
        <v>ω=54 度</v>
      </c>
    </row>
    <row r="296" spans="2:21" ht="19.5" customHeight="1">
      <c r="B296" s="20" t="s">
        <v>178</v>
      </c>
      <c r="D296" s="20" t="str">
        <f>S296&amp;T296&amp;U296</f>
        <v>PA2=89.51kN/m</v>
      </c>
      <c r="S296" s="20" t="s">
        <v>44</v>
      </c>
      <c r="T296" s="53">
        <f>F278</f>
        <v>89.51</v>
      </c>
      <c r="U296" s="20" t="s">
        <v>45</v>
      </c>
    </row>
    <row r="297" ht="19.5" customHeight="1">
      <c r="B297" s="20" t="s">
        <v>182</v>
      </c>
    </row>
    <row r="298" spans="3:21" ht="19.5" customHeight="1">
      <c r="C298" s="20" t="str">
        <f>"PAV2=PA2sin(α2+δ2)="&amp;T296&amp;"×sin("&amp;V131&amp;"+"&amp;T47&amp;")="&amp;T298&amp;U298</f>
        <v>PAV2=PA2sin(α2+δ2)=89.51×sin(0+23.3)=35.45kN/m</v>
      </c>
      <c r="S298" s="20" t="s">
        <v>267</v>
      </c>
      <c r="T298" s="20">
        <f>ROUND(T296*SIN(T131+T136),2)</f>
        <v>35.45</v>
      </c>
      <c r="U298" s="20" t="s">
        <v>45</v>
      </c>
    </row>
    <row r="299" ht="19.5" customHeight="1">
      <c r="B299" s="20" t="s">
        <v>183</v>
      </c>
    </row>
    <row r="300" spans="3:21" ht="19.5" customHeight="1">
      <c r="C300" s="20" t="str">
        <f>"PAH2=PA2cos(α2+δ2)="&amp;T296&amp;"×cos("&amp;V131&amp;"+"&amp;T47&amp;")="&amp;T300&amp;U300</f>
        <v>PAH2=PA2cos(α2+δ2)=89.51×cos(0+23.3)=82.19kN/m</v>
      </c>
      <c r="S300" s="20" t="s">
        <v>268</v>
      </c>
      <c r="T300" s="20">
        <f>ROUND(T296*COS(T131+T136),2)</f>
        <v>82.19</v>
      </c>
      <c r="U300" s="20" t="s">
        <v>45</v>
      </c>
    </row>
    <row r="301" ht="19.5" customHeight="1">
      <c r="A301" s="20" t="s">
        <v>229</v>
      </c>
    </row>
    <row r="302" ht="19.5" customHeight="1">
      <c r="B302" s="20" t="s">
        <v>184</v>
      </c>
    </row>
    <row r="317" ht="19.5" customHeight="1">
      <c r="B317" s="20" t="str">
        <f>"すべり角ωを"&amp;B319&amp;"度から"&amp;B327&amp;"度まで1度刻みで変えて計算する。"</f>
        <v>すべり角ωを47度から55度まで1度刻みで変えて計算する。</v>
      </c>
    </row>
    <row r="318" spans="2:6" ht="19.5" customHeight="1">
      <c r="B318" s="15" t="s">
        <v>141</v>
      </c>
      <c r="C318" s="24" t="s">
        <v>272</v>
      </c>
      <c r="D318" s="29" t="s">
        <v>271</v>
      </c>
      <c r="E318" s="29" t="s">
        <v>270</v>
      </c>
      <c r="F318" s="30" t="s">
        <v>269</v>
      </c>
    </row>
    <row r="319" spans="2:6" ht="19.5" customHeight="1">
      <c r="B319" s="13">
        <f>'主働土圧'!C224</f>
        <v>47</v>
      </c>
      <c r="C319" s="14">
        <f>'主働土圧'!E224</f>
        <v>3.55</v>
      </c>
      <c r="D319" s="14">
        <f>'主働土圧'!F224</f>
        <v>271.21</v>
      </c>
      <c r="E319" s="14">
        <f>'主働土圧'!G224</f>
        <v>306.71</v>
      </c>
      <c r="F319" s="18">
        <f>'主働土圧'!B224</f>
        <v>35.06</v>
      </c>
    </row>
    <row r="320" spans="2:6" ht="19.5" customHeight="1">
      <c r="B320" s="13">
        <f>'主働土圧'!C225</f>
        <v>48</v>
      </c>
      <c r="C320" s="14">
        <f>'主働土圧'!E225</f>
        <v>3.34</v>
      </c>
      <c r="D320" s="14">
        <f>'主働土圧'!F225</f>
        <v>257.18</v>
      </c>
      <c r="E320" s="14">
        <f>'主働土圧'!G225</f>
        <v>290.58</v>
      </c>
      <c r="F320" s="18">
        <f>'主働土圧'!B225</f>
        <v>36.71</v>
      </c>
    </row>
    <row r="321" spans="2:6" ht="19.5" customHeight="1">
      <c r="B321" s="13">
        <f>'主働土圧'!C226</f>
        <v>49</v>
      </c>
      <c r="C321" s="14">
        <f>'主働土圧'!E226</f>
        <v>3.14</v>
      </c>
      <c r="D321" s="14">
        <f>'主働土圧'!F226</f>
        <v>243.58</v>
      </c>
      <c r="E321" s="14">
        <f>'主働土圧'!G226</f>
        <v>274.98</v>
      </c>
      <c r="F321" s="18">
        <f>'主働土圧'!B226</f>
        <v>37.93</v>
      </c>
    </row>
    <row r="322" spans="2:6" ht="19.5" customHeight="1">
      <c r="B322" s="13">
        <f>'主働土圧'!C227</f>
        <v>50</v>
      </c>
      <c r="C322" s="14">
        <f>'主働土圧'!E227</f>
        <v>2.94</v>
      </c>
      <c r="D322" s="14">
        <f>'主働土圧'!F227</f>
        <v>230.39</v>
      </c>
      <c r="E322" s="14">
        <f>'主働土圧'!G227</f>
        <v>259.79</v>
      </c>
      <c r="F322" s="18">
        <f>'主働土圧'!B227</f>
        <v>38.71</v>
      </c>
    </row>
    <row r="323" spans="2:7" ht="19.5" customHeight="1">
      <c r="B323" s="13">
        <f>'主働土圧'!C228</f>
        <v>51</v>
      </c>
      <c r="C323" s="14">
        <f>'主働土圧'!E228</f>
        <v>2.74</v>
      </c>
      <c r="D323" s="14">
        <f>'主働土圧'!F228</f>
        <v>217.59</v>
      </c>
      <c r="E323" s="14">
        <f>'主働土圧'!G228</f>
        <v>244.99</v>
      </c>
      <c r="F323" s="18">
        <f>'主働土圧'!B228</f>
        <v>39.08</v>
      </c>
      <c r="G323" s="20" t="s">
        <v>180</v>
      </c>
    </row>
    <row r="324" spans="2:6" ht="19.5" customHeight="1">
      <c r="B324" s="13">
        <f>'主働土圧'!C229</f>
        <v>52</v>
      </c>
      <c r="C324" s="14">
        <f>'主働土圧'!E229</f>
        <v>2.55</v>
      </c>
      <c r="D324" s="14">
        <f>'主働土圧'!F229</f>
        <v>205.13</v>
      </c>
      <c r="E324" s="14">
        <f>'主働土圧'!G229</f>
        <v>230.63</v>
      </c>
      <c r="F324" s="18">
        <f>'主働土圧'!B229</f>
        <v>39.08</v>
      </c>
    </row>
    <row r="325" spans="2:6" ht="19.5" customHeight="1">
      <c r="B325" s="13">
        <f>'主働土圧'!C230</f>
        <v>53</v>
      </c>
      <c r="C325" s="14">
        <f>'主働土圧'!E230</f>
        <v>2.37</v>
      </c>
      <c r="D325" s="14">
        <f>'主働土圧'!F230</f>
        <v>193.02</v>
      </c>
      <c r="E325" s="14">
        <f>'主働土圧'!G230</f>
        <v>216.72</v>
      </c>
      <c r="F325" s="18">
        <f>'主働土圧'!B230</f>
        <v>38.74</v>
      </c>
    </row>
    <row r="326" spans="2:23" ht="19.5" customHeight="1">
      <c r="B326" s="13">
        <f>'主働土圧'!C231</f>
        <v>54</v>
      </c>
      <c r="C326" s="14">
        <f>'主働土圧'!E231</f>
        <v>2.19</v>
      </c>
      <c r="D326" s="14">
        <f>'主働土圧'!F231</f>
        <v>181.22</v>
      </c>
      <c r="E326" s="14">
        <f>'主働土圧'!G231</f>
        <v>203.12</v>
      </c>
      <c r="F326" s="18">
        <f>'主働土圧'!B231</f>
        <v>38.04</v>
      </c>
      <c r="V326" s="33"/>
      <c r="W326" s="33"/>
    </row>
    <row r="327" spans="2:23" ht="19.5" customHeight="1">
      <c r="B327" s="17">
        <f>'主働土圧'!C232</f>
        <v>55</v>
      </c>
      <c r="C327" s="31">
        <f>'主働土圧'!E232</f>
        <v>2.02</v>
      </c>
      <c r="D327" s="31">
        <f>'主働土圧'!F232</f>
        <v>169.71</v>
      </c>
      <c r="E327" s="31">
        <f>'主働土圧'!G232</f>
        <v>189.91</v>
      </c>
      <c r="F327" s="32">
        <f>'主働土圧'!B232</f>
        <v>37.02</v>
      </c>
      <c r="V327" s="33"/>
      <c r="W327" s="34"/>
    </row>
    <row r="328" spans="22:23" ht="19.5" customHeight="1">
      <c r="V328" s="33"/>
      <c r="W328" s="33"/>
    </row>
    <row r="329" spans="22:23" ht="19.5" customHeight="1">
      <c r="V329" s="33"/>
      <c r="W329" s="33"/>
    </row>
    <row r="339" spans="2:4" ht="19.5" customHeight="1">
      <c r="B339" s="20" t="s">
        <v>181</v>
      </c>
      <c r="D339" s="20" t="str">
        <f>"ω="&amp;B323&amp;" 度"</f>
        <v>ω=51 度</v>
      </c>
    </row>
    <row r="340" spans="2:21" ht="19.5" customHeight="1">
      <c r="B340" s="20" t="s">
        <v>178</v>
      </c>
      <c r="D340" s="20" t="str">
        <f>S340&amp;T340&amp;U340</f>
        <v>P'A2=39.08kN/m</v>
      </c>
      <c r="S340" s="20" t="s">
        <v>213</v>
      </c>
      <c r="T340" s="53">
        <f>F323</f>
        <v>39.08</v>
      </c>
      <c r="U340" s="20" t="s">
        <v>45</v>
      </c>
    </row>
    <row r="342" ht="19.5" customHeight="1">
      <c r="B342" s="20" t="s">
        <v>185</v>
      </c>
    </row>
    <row r="357" spans="2:4" ht="19.5" customHeight="1">
      <c r="B357" s="79" t="s">
        <v>186</v>
      </c>
      <c r="C357" s="77" t="str">
        <f>"4PA2'-PA2"</f>
        <v>4PA2'-PA2</v>
      </c>
      <c r="D357" s="77"/>
    </row>
    <row r="358" spans="2:4" ht="19.5" customHeight="1">
      <c r="B358" s="79"/>
      <c r="C358" s="78" t="s">
        <v>277</v>
      </c>
      <c r="D358" s="78"/>
    </row>
    <row r="359" spans="2:21" ht="19.5" customHeight="1">
      <c r="B359" s="79" t="s">
        <v>275</v>
      </c>
      <c r="C359" s="77" t="str">
        <f>"4×"&amp;T340&amp;"-"&amp;T296</f>
        <v>4×39.08-89.51</v>
      </c>
      <c r="D359" s="77"/>
      <c r="E359" s="76" t="str">
        <f>"="&amp;T359&amp;U359</f>
        <v>=24.03kN/m2</v>
      </c>
      <c r="F359" s="76"/>
      <c r="S359" s="20" t="s">
        <v>46</v>
      </c>
      <c r="T359" s="20">
        <f>ROUND((4*T340-T296)/'出力'!$T$139,2)</f>
        <v>24.03</v>
      </c>
      <c r="U359" s="20" t="s">
        <v>29</v>
      </c>
    </row>
    <row r="360" spans="2:6" ht="19.5" customHeight="1">
      <c r="B360" s="79"/>
      <c r="C360" s="78">
        <f>T139</f>
        <v>2.7800000000000002</v>
      </c>
      <c r="D360" s="78"/>
      <c r="E360" s="76"/>
      <c r="F360" s="76"/>
    </row>
    <row r="361" spans="2:21" ht="19.5" customHeight="1">
      <c r="B361" s="79" t="s">
        <v>187</v>
      </c>
      <c r="C361" s="64" t="s">
        <v>278</v>
      </c>
      <c r="D361" s="76" t="str">
        <f>" -p1"</f>
        <v> -p1</v>
      </c>
      <c r="F361" s="51"/>
      <c r="G361" s="51"/>
      <c r="S361" s="20" t="s">
        <v>47</v>
      </c>
      <c r="T361" s="20">
        <f>ROUND(2*T296/'出力'!$T$139-T359,2)</f>
        <v>40.37</v>
      </c>
      <c r="U361" s="20" t="s">
        <v>9</v>
      </c>
    </row>
    <row r="362" spans="2:7" ht="19.5" customHeight="1">
      <c r="B362" s="79"/>
      <c r="C362" s="65" t="s">
        <v>277</v>
      </c>
      <c r="D362" s="76"/>
      <c r="F362" s="51"/>
      <c r="G362" s="51"/>
    </row>
    <row r="363" spans="2:7" ht="19.5" customHeight="1">
      <c r="B363" s="79" t="s">
        <v>275</v>
      </c>
      <c r="C363" s="64" t="str">
        <f>"2×"&amp;T296</f>
        <v>2×89.51</v>
      </c>
      <c r="D363" s="87" t="str">
        <f>"-"&amp;T359&amp;"="&amp;T361&amp;U361</f>
        <v>-24.03=40.37kN/m3</v>
      </c>
      <c r="E363" s="88"/>
      <c r="F363" s="51"/>
      <c r="G363" s="51"/>
    </row>
    <row r="364" spans="2:7" ht="19.5" customHeight="1">
      <c r="B364" s="79"/>
      <c r="C364" s="65">
        <f>C360</f>
        <v>2.7800000000000002</v>
      </c>
      <c r="D364" s="88"/>
      <c r="E364" s="88"/>
      <c r="F364" s="51"/>
      <c r="G364" s="51"/>
    </row>
    <row r="365" spans="2:7" ht="19.5" customHeight="1">
      <c r="B365" s="20" t="s">
        <v>188</v>
      </c>
      <c r="C365" s="50"/>
      <c r="D365" s="71"/>
      <c r="E365" s="71"/>
      <c r="F365" s="51"/>
      <c r="G365" s="51"/>
    </row>
    <row r="366" spans="2:7" ht="19.5" customHeight="1">
      <c r="B366" s="79" t="s">
        <v>189</v>
      </c>
      <c r="C366" s="77" t="str">
        <f>"h2×(2×p1+p2)"</f>
        <v>h2×(2×p1+p2)</v>
      </c>
      <c r="D366" s="77"/>
      <c r="E366" s="51"/>
      <c r="F366" s="51"/>
      <c r="G366" s="51"/>
    </row>
    <row r="367" spans="2:21" ht="19.5" customHeight="1">
      <c r="B367" s="79"/>
      <c r="C367" s="78" t="s">
        <v>279</v>
      </c>
      <c r="D367" s="78"/>
      <c r="E367" s="51"/>
      <c r="S367" s="20" t="s">
        <v>128</v>
      </c>
      <c r="T367" s="70">
        <f>ROUND(G35,2)</f>
        <v>2.15</v>
      </c>
      <c r="U367" s="20" t="s">
        <v>16</v>
      </c>
    </row>
    <row r="368" spans="2:21" ht="19.5" customHeight="1">
      <c r="B368" s="79" t="s">
        <v>189</v>
      </c>
      <c r="C368" s="77" t="str">
        <f>T139&amp;"×(2×"&amp;T359&amp;"+"&amp;T361&amp;")"</f>
        <v>2.78×(2×24.03+40.37)</v>
      </c>
      <c r="D368" s="77"/>
      <c r="E368" s="85"/>
      <c r="F368" s="76" t="str">
        <f>"="&amp;T369&amp;U369</f>
        <v>=1.27m</v>
      </c>
      <c r="G368" s="76"/>
      <c r="S368" s="20" t="s">
        <v>126</v>
      </c>
      <c r="T368" s="20">
        <f>ROUND(T367-T369*'出力'!T26,2)</f>
        <v>2.15</v>
      </c>
      <c r="U368" s="20" t="s">
        <v>16</v>
      </c>
    </row>
    <row r="369" spans="2:21" ht="19.5" customHeight="1">
      <c r="B369" s="79"/>
      <c r="C369" s="78" t="str">
        <f>"3×("&amp;T359&amp;"+"&amp;T361&amp;")"</f>
        <v>3×(24.03+40.37)</v>
      </c>
      <c r="D369" s="78"/>
      <c r="E369" s="86"/>
      <c r="F369" s="76"/>
      <c r="G369" s="76"/>
      <c r="S369" s="20" t="s">
        <v>127</v>
      </c>
      <c r="T369" s="20">
        <f>ROUND('出力'!T139/3*(2*T359+T361)/(T359+T361),2)</f>
        <v>1.27</v>
      </c>
      <c r="U369" s="20" t="s">
        <v>16</v>
      </c>
    </row>
    <row r="370" spans="2:19" ht="19.5" customHeight="1">
      <c r="B370" s="49" t="s">
        <v>280</v>
      </c>
      <c r="C370" s="71" t="str">
        <f>"B-tanα2・yA2="&amp;S370</f>
        <v>B-tanα2・yA2=2.15-0×1.27=2.15m</v>
      </c>
      <c r="S370" s="20" t="str">
        <f>T367&amp;"-"&amp;T26&amp;"×"&amp;T369&amp;"="&amp;T368&amp;U368</f>
        <v>2.15-0×1.27=2.15m</v>
      </c>
    </row>
    <row r="372" ht="19.5" customHeight="1">
      <c r="A372" s="20" t="s">
        <v>190</v>
      </c>
    </row>
    <row r="373" ht="19.5" customHeight="1">
      <c r="A373" s="20" t="s">
        <v>191</v>
      </c>
    </row>
    <row r="393" spans="2:8" ht="19.5" customHeight="1">
      <c r="B393" s="81" t="s">
        <v>81</v>
      </c>
      <c r="C393" s="9" t="s">
        <v>117</v>
      </c>
      <c r="D393" s="9" t="s">
        <v>118</v>
      </c>
      <c r="E393" s="9" t="s">
        <v>48</v>
      </c>
      <c r="F393" s="9" t="s">
        <v>119</v>
      </c>
      <c r="G393" s="9" t="s">
        <v>120</v>
      </c>
      <c r="H393" s="10" t="s">
        <v>121</v>
      </c>
    </row>
    <row r="394" spans="2:8" ht="19.5" customHeight="1">
      <c r="B394" s="82"/>
      <c r="C394" s="11" t="s">
        <v>146</v>
      </c>
      <c r="D394" s="11" t="s">
        <v>146</v>
      </c>
      <c r="E394" s="11" t="s">
        <v>147</v>
      </c>
      <c r="F394" s="11" t="s">
        <v>147</v>
      </c>
      <c r="G394" s="11" t="s">
        <v>148</v>
      </c>
      <c r="H394" s="12" t="s">
        <v>148</v>
      </c>
    </row>
    <row r="395" spans="2:8" ht="19.5" customHeight="1">
      <c r="B395" s="13" t="s">
        <v>115</v>
      </c>
      <c r="C395" s="14">
        <f>T124</f>
        <v>95.45</v>
      </c>
      <c r="D395" s="14">
        <f>ROUND($T$133*C395,2)</f>
        <v>0</v>
      </c>
      <c r="E395" s="14">
        <f>T125</f>
        <v>1.37</v>
      </c>
      <c r="F395" s="14">
        <f>T126</f>
        <v>1.21</v>
      </c>
      <c r="G395" s="14">
        <f aca="true" t="shared" si="0" ref="G395:H398">ROUND(C395*E395,2)</f>
        <v>130.77</v>
      </c>
      <c r="H395" s="18">
        <f t="shared" si="0"/>
        <v>0</v>
      </c>
    </row>
    <row r="396" spans="2:8" ht="19.5" customHeight="1">
      <c r="B396" s="13" t="s">
        <v>116</v>
      </c>
      <c r="C396" s="14">
        <f>T94</f>
        <v>65.78</v>
      </c>
      <c r="D396" s="14">
        <f>ROUND($T$133*C396,2)</f>
        <v>0</v>
      </c>
      <c r="E396" s="14">
        <f>T95</f>
        <v>3.2</v>
      </c>
      <c r="F396" s="14">
        <f>T96</f>
        <v>5.44</v>
      </c>
      <c r="G396" s="14">
        <f t="shared" si="0"/>
        <v>210.5</v>
      </c>
      <c r="H396" s="18">
        <f t="shared" si="0"/>
        <v>0</v>
      </c>
    </row>
    <row r="397" spans="2:8" ht="19.5" customHeight="1">
      <c r="B397" s="13" t="s">
        <v>230</v>
      </c>
      <c r="C397" s="14">
        <f>T211</f>
        <v>-1.72</v>
      </c>
      <c r="D397" s="14">
        <f>T213</f>
        <v>30.41</v>
      </c>
      <c r="E397" s="14">
        <f>T217</f>
        <v>3.09</v>
      </c>
      <c r="F397" s="14">
        <f>T221</f>
        <v>4.66</v>
      </c>
      <c r="G397" s="14">
        <f>ROUND(C397*E397,2)</f>
        <v>-5.31</v>
      </c>
      <c r="H397" s="18">
        <f>ROUND(D397*F397,2)</f>
        <v>141.71</v>
      </c>
    </row>
    <row r="398" spans="2:8" ht="19.5" customHeight="1">
      <c r="B398" s="13" t="s">
        <v>231</v>
      </c>
      <c r="C398" s="14">
        <f>T298</f>
        <v>35.45</v>
      </c>
      <c r="D398" s="14">
        <f>T300</f>
        <v>82.19</v>
      </c>
      <c r="E398" s="14">
        <f>T368</f>
        <v>2.15</v>
      </c>
      <c r="F398" s="14">
        <f>T369</f>
        <v>1.27</v>
      </c>
      <c r="G398" s="14">
        <f t="shared" si="0"/>
        <v>76.22</v>
      </c>
      <c r="H398" s="18">
        <f t="shared" si="0"/>
        <v>104.38</v>
      </c>
    </row>
    <row r="399" spans="2:8" ht="19.5" customHeight="1">
      <c r="B399" s="15" t="s">
        <v>129</v>
      </c>
      <c r="C399" s="16">
        <f>SUM(C395:C398)</f>
        <v>194.96000000000004</v>
      </c>
      <c r="D399" s="16">
        <f>SUM(D395:D398)</f>
        <v>112.6</v>
      </c>
      <c r="E399" s="16" t="s">
        <v>192</v>
      </c>
      <c r="F399" s="16" t="s">
        <v>192</v>
      </c>
      <c r="G399" s="16">
        <f>SUM(G395:G398)</f>
        <v>412.17999999999995</v>
      </c>
      <c r="H399" s="19">
        <f>SUM(H395:H398)</f>
        <v>246.09</v>
      </c>
    </row>
    <row r="418" spans="2:21" ht="19.5" customHeight="1">
      <c r="B418" s="20" t="s">
        <v>193</v>
      </c>
      <c r="C418" s="20" t="str">
        <f>S418&amp;T418&amp;U418</f>
        <v>B=2.15m</v>
      </c>
      <c r="S418" s="20" t="s">
        <v>128</v>
      </c>
      <c r="T418" s="20">
        <f>'出力'!T367</f>
        <v>2.15</v>
      </c>
      <c r="U418" s="20" t="s">
        <v>16</v>
      </c>
    </row>
    <row r="419" ht="19.5" customHeight="1">
      <c r="B419" s="20" t="s">
        <v>194</v>
      </c>
    </row>
    <row r="420" spans="2:4" ht="19.5" customHeight="1">
      <c r="B420" s="79" t="str">
        <f>"d=   "</f>
        <v>d=   </v>
      </c>
      <c r="C420" s="77" t="str">
        <f>"Σ(V・x)-Σ(H・y)"</f>
        <v>Σ(V・x)-Σ(H・y)</v>
      </c>
      <c r="D420" s="77"/>
    </row>
    <row r="421" spans="2:21" ht="19.5" customHeight="1">
      <c r="B421" s="79"/>
      <c r="C421" s="78" t="s">
        <v>274</v>
      </c>
      <c r="D421" s="78"/>
      <c r="S421" s="20" t="s">
        <v>130</v>
      </c>
      <c r="T421" s="20">
        <f>ROUND((G399-H399)/C399,2)</f>
        <v>0.85</v>
      </c>
      <c r="U421" s="20" t="s">
        <v>14</v>
      </c>
    </row>
    <row r="422" spans="2:5" ht="19.5" customHeight="1">
      <c r="B422" s="79" t="str">
        <f>"=   "</f>
        <v>=   </v>
      </c>
      <c r="C422" s="77" t="str">
        <f>G399&amp;"-"&amp;H399</f>
        <v>412.18-246.09</v>
      </c>
      <c r="D422" s="77"/>
      <c r="E422" s="84" t="str">
        <f>"  ="&amp;T421&amp;U421</f>
        <v>  =0.85m</v>
      </c>
    </row>
    <row r="423" spans="2:5" ht="19.5" customHeight="1">
      <c r="B423" s="79"/>
      <c r="C423" s="83">
        <f>C399</f>
        <v>194.96000000000004</v>
      </c>
      <c r="D423" s="78"/>
      <c r="E423" s="84"/>
    </row>
    <row r="424" spans="2:21" ht="19.5" customHeight="1">
      <c r="B424" s="20" t="s">
        <v>195</v>
      </c>
      <c r="S424" s="20" t="s">
        <v>131</v>
      </c>
      <c r="T424" s="20">
        <f>ROUND(T418/2-T421,2)</f>
        <v>0.23</v>
      </c>
      <c r="U424" s="20" t="s">
        <v>16</v>
      </c>
    </row>
    <row r="425" spans="2:21" ht="19.5" customHeight="1">
      <c r="B425" s="79" t="str">
        <f>"e=   "</f>
        <v>e=   </v>
      </c>
      <c r="C425" s="64" t="s">
        <v>276</v>
      </c>
      <c r="D425" s="80" t="str">
        <f>" －d "</f>
        <v> －d </v>
      </c>
      <c r="S425" s="20" t="s">
        <v>285</v>
      </c>
      <c r="T425" s="20">
        <f>T418/6</f>
        <v>0.35833333333333334</v>
      </c>
      <c r="U425" s="20" t="s">
        <v>16</v>
      </c>
    </row>
    <row r="426" spans="2:4" ht="19.5" customHeight="1">
      <c r="B426" s="79"/>
      <c r="C426" s="65">
        <v>2</v>
      </c>
      <c r="D426" s="76"/>
    </row>
    <row r="427" spans="2:26" ht="19.5" customHeight="1">
      <c r="B427" s="79" t="str">
        <f>"=   "</f>
        <v>=   </v>
      </c>
      <c r="C427" s="64">
        <f>T418</f>
        <v>2.15</v>
      </c>
      <c r="D427" s="76" t="str">
        <f>" － "&amp;T421&amp;" = "&amp;T424&amp;U424</f>
        <v> － 0.85 = 0.23m</v>
      </c>
      <c r="E427" s="76"/>
      <c r="S427" s="20" t="s">
        <v>236</v>
      </c>
      <c r="T427" s="20">
        <f>ABS(T424)</f>
        <v>0.23</v>
      </c>
      <c r="U427" s="20" t="s">
        <v>14</v>
      </c>
      <c r="V427" s="28" t="str">
        <f>IF(T427&lt;X427,"&lt;","&gt;")</f>
        <v>&lt;</v>
      </c>
      <c r="W427" s="20" t="s">
        <v>132</v>
      </c>
      <c r="X427" s="20">
        <f>ROUND(T418/T429,2)</f>
        <v>0.36</v>
      </c>
      <c r="Z427" s="28" t="str">
        <f>IF(T427&lt;X427,"OK","NG")</f>
        <v>OK</v>
      </c>
    </row>
    <row r="428" spans="2:5" ht="19.5" customHeight="1">
      <c r="B428" s="79"/>
      <c r="C428" s="65">
        <v>2</v>
      </c>
      <c r="D428" s="76"/>
      <c r="E428" s="76"/>
    </row>
    <row r="429" spans="1:20" ht="19.5" customHeight="1">
      <c r="A429" s="20" t="s">
        <v>196</v>
      </c>
      <c r="S429" s="20" t="str">
        <f>IF(T$41=0,"常時","地震時")</f>
        <v>常時</v>
      </c>
      <c r="T429" s="20">
        <f>IF(T$41=0,6,3)</f>
        <v>6</v>
      </c>
    </row>
    <row r="430" ht="19.5" customHeight="1">
      <c r="B430" s="20" t="s">
        <v>273</v>
      </c>
    </row>
    <row r="431" spans="3:24" ht="19.5" customHeight="1">
      <c r="C431" s="20" t="str">
        <f>"ea=B/"&amp;T429&amp;"="&amp;T431&amp;U431&amp;V431&amp;W431&amp;X431</f>
        <v>ea=B/6=0.36m&gt;|e|=0.23m   (OK)</v>
      </c>
      <c r="S431" s="20" t="s">
        <v>132</v>
      </c>
      <c r="T431" s="20">
        <f>ROUND(T418/T429,2)</f>
        <v>0.36</v>
      </c>
      <c r="U431" s="20" t="s">
        <v>14</v>
      </c>
      <c r="V431" s="20" t="str">
        <f>IF(T431&gt;T427,"&gt;","&lt;")</f>
        <v>&gt;</v>
      </c>
      <c r="W431" s="20" t="str">
        <f>S427&amp;T427&amp;U427</f>
        <v>|e|=0.23m</v>
      </c>
      <c r="X431" s="20" t="str">
        <f>IF(T427&lt;T431,"   (OK)","   (NG)")</f>
        <v>   (OK)</v>
      </c>
    </row>
    <row r="433" spans="1:20" ht="19.5" customHeight="1">
      <c r="A433" s="20" t="s">
        <v>197</v>
      </c>
      <c r="S433" s="20" t="str">
        <f>IF(T$41=0,"常時","地震時")</f>
        <v>常時</v>
      </c>
      <c r="T433" s="20">
        <f>IF(T$41=0,1.5,1.2)</f>
        <v>1.5</v>
      </c>
    </row>
    <row r="434" spans="2:21" ht="19.5" customHeight="1">
      <c r="B434" s="20" t="str">
        <f>"根入れ深さ  "&amp;S434&amp;T434&amp;U434</f>
        <v>根入れ深さ  Df=1.5m</v>
      </c>
      <c r="S434" s="20" t="s">
        <v>247</v>
      </c>
      <c r="T434" s="20">
        <f>'入力'!D18</f>
        <v>1.5</v>
      </c>
      <c r="U434" s="20" t="s">
        <v>14</v>
      </c>
    </row>
    <row r="435" spans="2:21" ht="19.5" customHeight="1">
      <c r="B435" s="20" t="str">
        <f>"根入れ地盤   "&amp;S435&amp;T435&amp;U435</f>
        <v>根入れ地盤   γ=19kN/m3</v>
      </c>
      <c r="E435" s="20" t="str">
        <f>S440&amp;T440&amp;U440</f>
        <v>φ=30度</v>
      </c>
      <c r="G435" s="20" t="str">
        <f>S436&amp;T436&amp;U436</f>
        <v>c=10kN/m2</v>
      </c>
      <c r="S435" s="20" t="s">
        <v>17</v>
      </c>
      <c r="T435" s="20">
        <f>'入力'!D19</f>
        <v>19</v>
      </c>
      <c r="U435" s="20" t="s">
        <v>10</v>
      </c>
    </row>
    <row r="436" spans="2:21" ht="19.5" customHeight="1">
      <c r="B436" s="20" t="str">
        <f>"擁壁底面と支持地盤の摩擦係数"&amp;S445&amp;T445</f>
        <v>擁壁底面と支持地盤の摩擦係数μ=0.6</v>
      </c>
      <c r="S436" s="20" t="s">
        <v>246</v>
      </c>
      <c r="T436" s="20">
        <f>'入力'!D21</f>
        <v>10</v>
      </c>
      <c r="U436" s="20" t="s">
        <v>163</v>
      </c>
    </row>
    <row r="437" ht="19.5" customHeight="1">
      <c r="B437" s="20" t="s">
        <v>281</v>
      </c>
    </row>
    <row r="438" spans="2:3" ht="19.5" customHeight="1">
      <c r="B438" s="49" t="str">
        <f>"KP=  "</f>
        <v>KP=  </v>
      </c>
      <c r="C438" s="20" t="str">
        <f>"tan(45+φ/2)^2 = tan(45+"&amp;T440&amp;"/2)^2 = "&amp;T441</f>
        <v>tan(45+φ/2)^2 = tan(45+30/2)^2 = 3</v>
      </c>
    </row>
    <row r="439" ht="19.5" customHeight="1">
      <c r="B439" s="20" t="s">
        <v>250</v>
      </c>
    </row>
    <row r="440" spans="2:23" ht="19.5" customHeight="1">
      <c r="B440" s="49" t="str">
        <f>"Pp=  "</f>
        <v>Pp=  </v>
      </c>
      <c r="C440" s="20" t="s">
        <v>282</v>
      </c>
      <c r="S440" s="20" t="s">
        <v>18</v>
      </c>
      <c r="T440" s="20">
        <f>'入力'!D20</f>
        <v>30</v>
      </c>
      <c r="U440" s="20" t="s">
        <v>160</v>
      </c>
      <c r="V440" s="20">
        <f>ROUND(T440*PI()/180,4)</f>
        <v>0.5236</v>
      </c>
      <c r="W440" s="20" t="s">
        <v>7</v>
      </c>
    </row>
    <row r="441" spans="2:20" ht="19.5" customHeight="1">
      <c r="B441" s="49" t="str">
        <f>"=  "</f>
        <v>=  </v>
      </c>
      <c r="C441" s="20" t="str">
        <f>"1/2×"&amp;T435&amp;"×"&amp;T434&amp;"^2×"&amp;T441&amp;"+2×"&amp;T436&amp;"×"&amp;T434&amp;"×"&amp;T441&amp;"^0.5="&amp;T442&amp;U442</f>
        <v>1/2×19×1.5^2×3+2×10×1.5×3^0.5=116.09kN/m</v>
      </c>
      <c r="S441" s="20" t="s">
        <v>245</v>
      </c>
      <c r="T441" s="20">
        <f>ROUND(TAN((45+T440/2)*PI()/180)^2,3)</f>
        <v>3</v>
      </c>
    </row>
    <row r="442" spans="2:21" ht="19.5" customHeight="1">
      <c r="B442" s="20" t="str">
        <f>"受働土圧の有効係数 "&amp;S444&amp;T444</f>
        <v>受働土圧の有効係数 α=0.5</v>
      </c>
      <c r="S442" s="20" t="s">
        <v>249</v>
      </c>
      <c r="T442" s="20">
        <f>ROUND(0.5*T435*T434^2*T441+2*T436*T434*T441^0.5,2)</f>
        <v>116.09</v>
      </c>
      <c r="U442" s="20" t="s">
        <v>45</v>
      </c>
    </row>
    <row r="443" ht="19.5" customHeight="1">
      <c r="B443" s="20" t="s">
        <v>248</v>
      </c>
    </row>
    <row r="444" spans="2:20" ht="19.5" customHeight="1">
      <c r="B444" s="79" t="str">
        <f>"Fs= "</f>
        <v>Fs= </v>
      </c>
      <c r="C444" s="77" t="s">
        <v>252</v>
      </c>
      <c r="D444" s="77"/>
      <c r="S444" s="20" t="s">
        <v>244</v>
      </c>
      <c r="T444" s="20">
        <f>'入力'!D22</f>
        <v>0.5</v>
      </c>
    </row>
    <row r="445" spans="2:20" ht="19.5" customHeight="1">
      <c r="B445" s="79"/>
      <c r="C445" s="78" t="s">
        <v>251</v>
      </c>
      <c r="D445" s="78"/>
      <c r="S445" s="20" t="s">
        <v>98</v>
      </c>
      <c r="T445" s="20">
        <f>'入力'!D23</f>
        <v>0.6</v>
      </c>
    </row>
    <row r="446" spans="2:8" ht="19.5" customHeight="1">
      <c r="B446" s="79" t="str">
        <f>"= "</f>
        <v>= </v>
      </c>
      <c r="C446" s="77" t="str">
        <f>T445&amp;"×"&amp;C399&amp;"+"&amp;T444&amp;"×"&amp;T442</f>
        <v>0.6×194.96+0.5×116.09</v>
      </c>
      <c r="D446" s="77"/>
      <c r="E446" s="85"/>
      <c r="F446" s="76" t="str">
        <f>" ="&amp;T447&amp;U447&amp;W447&amp;Y447</f>
        <v> =1.55&gt;1.5   (OK)</v>
      </c>
      <c r="G446" s="76"/>
      <c r="H446" s="76"/>
    </row>
    <row r="447" spans="2:25" ht="19.5" customHeight="1">
      <c r="B447" s="79"/>
      <c r="C447" s="83">
        <f>D399</f>
        <v>112.6</v>
      </c>
      <c r="D447" s="78"/>
      <c r="E447" s="86"/>
      <c r="F447" s="76"/>
      <c r="G447" s="76"/>
      <c r="H447" s="76"/>
      <c r="S447" s="20" t="s">
        <v>133</v>
      </c>
      <c r="T447" s="20">
        <f>ROUND((C399*T445+T444*T442)/D399,2)</f>
        <v>1.55</v>
      </c>
      <c r="U447" s="28" t="str">
        <f>IF(T447&lt;W447,"&lt;","&gt;")</f>
        <v>&gt;</v>
      </c>
      <c r="V447" s="20" t="s">
        <v>134</v>
      </c>
      <c r="W447" s="20">
        <f>IF('入力'!D12=0,1.5,1.2)</f>
        <v>1.5</v>
      </c>
      <c r="Y447" s="28" t="str">
        <f>IF(T447&lt;W447,"   (NG)","   (OK)")</f>
        <v>   (OK)</v>
      </c>
    </row>
    <row r="448" spans="2:12" ht="19.5" customHeight="1">
      <c r="B448" s="49"/>
      <c r="C448" s="49"/>
      <c r="D448" s="69"/>
      <c r="K448" s="20">
        <f>IF(T424&lt;=T425,1,2)</f>
        <v>1</v>
      </c>
      <c r="L448" s="20" t="str">
        <f>IF(T424&lt;=T425,"台形分布","三角形分布")</f>
        <v>台形分布</v>
      </c>
    </row>
    <row r="449" spans="1:11" ht="19.5" customHeight="1">
      <c r="A449" s="20" t="s">
        <v>198</v>
      </c>
      <c r="K449" s="20" t="s">
        <v>286</v>
      </c>
    </row>
    <row r="450" spans="2:21" ht="19.5" customHeight="1">
      <c r="B450" s="20" t="str">
        <f>IF(K448=1,K449,K450)</f>
        <v>合力が底面の核内なので地盤反力は台形分布する</v>
      </c>
      <c r="K450" s="20" t="s">
        <v>287</v>
      </c>
      <c r="S450" s="20" t="s">
        <v>135</v>
      </c>
      <c r="T450" s="20">
        <f>ROUND(C399/T418*(1+6*T427/T418),2)</f>
        <v>148.88</v>
      </c>
      <c r="U450" s="20" t="s">
        <v>29</v>
      </c>
    </row>
    <row r="451" spans="2:12" ht="19.5" customHeight="1">
      <c r="B451" s="20" t="s">
        <v>199</v>
      </c>
      <c r="K451" s="89" t="s">
        <v>253</v>
      </c>
      <c r="L451" s="85"/>
    </row>
    <row r="452" spans="2:12" ht="19.5" customHeight="1">
      <c r="B452" s="79" t="str">
        <f>"q1= "</f>
        <v>q1= </v>
      </c>
      <c r="C452" s="77" t="str">
        <f>IF(K448=1,K451,K456)</f>
        <v>∑V(B+6e)</v>
      </c>
      <c r="D452" s="77"/>
      <c r="K452" s="90" t="s">
        <v>254</v>
      </c>
      <c r="L452" s="86"/>
    </row>
    <row r="453" spans="2:16" ht="19.5" customHeight="1">
      <c r="B453" s="79"/>
      <c r="C453" s="78" t="str">
        <f>IF(K448=1,K452,K457)</f>
        <v>B^2</v>
      </c>
      <c r="D453" s="78"/>
      <c r="K453" s="77" t="str">
        <f>C399&amp;"×("&amp;T418&amp;"+6×"&amp;T424&amp;")"</f>
        <v>194.96×(2.15+6×0.23)</v>
      </c>
      <c r="L453" s="85"/>
      <c r="M453" s="85"/>
      <c r="N453" s="76" t="str">
        <f>"= "&amp;T450&amp;U450</f>
        <v>= 148.88kN/m2</v>
      </c>
      <c r="O453" s="76"/>
      <c r="P453" s="76"/>
    </row>
    <row r="454" spans="2:19" ht="19.5" customHeight="1">
      <c r="B454" s="79" t="str">
        <f>"= "</f>
        <v>= </v>
      </c>
      <c r="C454" s="77" t="str">
        <f>IF(K448=1,K453,K458)</f>
        <v>194.96×(2.15+6×0.23)</v>
      </c>
      <c r="D454" s="77"/>
      <c r="E454" s="77"/>
      <c r="F454" s="76" t="str">
        <f>IF(K448=1,N453,M458)</f>
        <v>= 148.88kN/m2</v>
      </c>
      <c r="G454" s="76"/>
      <c r="H454" s="76"/>
      <c r="K454" s="78" t="str">
        <f>T418&amp;"^2"</f>
        <v>2.15^2</v>
      </c>
      <c r="L454" s="78"/>
      <c r="M454" s="78"/>
      <c r="N454" s="76"/>
      <c r="O454" s="76"/>
      <c r="P454" s="76"/>
      <c r="S454" s="20" t="str">
        <f>"q1="&amp;C$399&amp;"/"&amp;T$418&amp;"×(1+6×"&amp;T$427&amp;"/"&amp;$T418&amp;")="&amp;T450&amp;U450</f>
        <v>q1=194.96/2.15×(1+6×0.23/2.15)=148.88kN/m2</v>
      </c>
    </row>
    <row r="455" spans="2:8" ht="19.5" customHeight="1">
      <c r="B455" s="76"/>
      <c r="C455" s="78" t="str">
        <f>IF(K448=1,K454,K459)</f>
        <v>2.15^2</v>
      </c>
      <c r="D455" s="78"/>
      <c r="E455" s="78"/>
      <c r="F455" s="76"/>
      <c r="G455" s="76"/>
      <c r="H455" s="76"/>
    </row>
    <row r="456" spans="11:21" ht="19.5" customHeight="1">
      <c r="K456" s="20" t="s">
        <v>283</v>
      </c>
      <c r="S456" s="20" t="s">
        <v>136</v>
      </c>
      <c r="T456" s="20">
        <f>ROUND(C399/T418*(1-6*T427/T418),2)</f>
        <v>32.48</v>
      </c>
      <c r="U456" s="20" t="s">
        <v>29</v>
      </c>
    </row>
    <row r="457" spans="2:11" ht="19.5" customHeight="1">
      <c r="B457" s="20" t="s">
        <v>200</v>
      </c>
      <c r="K457" s="20" t="s">
        <v>284</v>
      </c>
    </row>
    <row r="458" spans="2:17" ht="19.5" customHeight="1">
      <c r="B458" s="79" t="str">
        <f>IF(K448=1,"q2= ","q2=0")</f>
        <v>q2= </v>
      </c>
      <c r="C458" s="77" t="str">
        <f>IF(K448=1,K461,"")</f>
        <v>∑V(B-6e)</v>
      </c>
      <c r="D458" s="77"/>
      <c r="K458" s="76" t="str">
        <f>"2×"&amp;C399</f>
        <v>2×194.96</v>
      </c>
      <c r="L458" s="76"/>
      <c r="M458" s="76" t="str">
        <f>"="&amp;P458&amp;Q458</f>
        <v>=152.9kN/m2</v>
      </c>
      <c r="N458" s="76"/>
      <c r="O458" s="76"/>
      <c r="P458" s="20">
        <f>ROUND(2*C399/3/T421,1)</f>
        <v>152.9</v>
      </c>
      <c r="Q458" s="20" t="s">
        <v>29</v>
      </c>
    </row>
    <row r="459" spans="2:19" ht="19.5" customHeight="1">
      <c r="B459" s="79"/>
      <c r="C459" s="78" t="str">
        <f>IF(K448=1,K462," ")</f>
        <v>B^2</v>
      </c>
      <c r="D459" s="78"/>
      <c r="K459" s="76" t="str">
        <f>"3×"&amp;T421</f>
        <v>3×0.85</v>
      </c>
      <c r="L459" s="76"/>
      <c r="M459" s="76"/>
      <c r="N459" s="76"/>
      <c r="O459" s="76"/>
      <c r="S459" s="20" t="str">
        <f>"q2="&amp;C$399&amp;"/"&amp;T$418&amp;"×(1-6×"&amp;T$427&amp;"/"&amp;$S422&amp;")="&amp;T456&amp;U456</f>
        <v>q2=194.96/2.15×(1-6×0.23/)=32.48kN/m2</v>
      </c>
    </row>
    <row r="460" spans="2:8" ht="19.5" customHeight="1">
      <c r="B460" s="79" t="str">
        <f>"= "</f>
        <v>= </v>
      </c>
      <c r="C460" s="77" t="str">
        <f>IF(K448=1,K463,"")</f>
        <v>194.96×(2.15-6×0.23)</v>
      </c>
      <c r="D460" s="77"/>
      <c r="E460" s="77"/>
      <c r="F460" s="76" t="str">
        <f>IF(K448=1,N462,"")</f>
        <v>= 32.48kN/m2</v>
      </c>
      <c r="G460" s="76"/>
      <c r="H460" s="76"/>
    </row>
    <row r="461" spans="2:12" ht="19.5" customHeight="1">
      <c r="B461" s="76"/>
      <c r="C461" s="78" t="str">
        <f>IF(K448=1,K464,"")</f>
        <v>2.15^2</v>
      </c>
      <c r="D461" s="78"/>
      <c r="E461" s="78"/>
      <c r="F461" s="76"/>
      <c r="G461" s="76"/>
      <c r="H461" s="76"/>
      <c r="K461" s="89" t="s">
        <v>255</v>
      </c>
      <c r="L461" s="85"/>
    </row>
    <row r="462" spans="11:25" ht="19.5" customHeight="1">
      <c r="K462" s="90" t="s">
        <v>254</v>
      </c>
      <c r="L462" s="86"/>
      <c r="N462" s="76" t="str">
        <f>"= "&amp;T456&amp;U456</f>
        <v>= 32.48kN/m2</v>
      </c>
      <c r="O462" s="76"/>
      <c r="P462" s="76"/>
      <c r="S462" s="20" t="s">
        <v>202</v>
      </c>
      <c r="T462" s="20">
        <f>MAX(T450,T456)</f>
        <v>148.88</v>
      </c>
      <c r="U462" s="20" t="s">
        <v>29</v>
      </c>
      <c r="V462" s="20" t="str">
        <f>IF(T462&lt;T463,"&lt;","&gt;")</f>
        <v>&lt;</v>
      </c>
      <c r="W462" s="20" t="str">
        <f>S463&amp;T463&amp;U463</f>
        <v>qa=300kN/m2</v>
      </c>
      <c r="Y462" s="28" t="str">
        <f>IF(T462&gt;T463,"   (NG)","   (OK)")</f>
        <v>   (OK)</v>
      </c>
    </row>
    <row r="463" spans="2:21" ht="19.5" customHeight="1">
      <c r="B463" s="20" t="s">
        <v>201</v>
      </c>
      <c r="K463" s="77" t="str">
        <f>C399&amp;"×("&amp;T418&amp;"-6×"&amp;T424&amp;")"</f>
        <v>194.96×(2.15-6×0.23)</v>
      </c>
      <c r="L463" s="85"/>
      <c r="M463" s="85"/>
      <c r="N463" s="76"/>
      <c r="O463" s="76"/>
      <c r="P463" s="76"/>
      <c r="S463" s="20" t="s">
        <v>162</v>
      </c>
      <c r="T463" s="20">
        <f>'入力'!D24</f>
        <v>300</v>
      </c>
      <c r="U463" s="20" t="s">
        <v>29</v>
      </c>
    </row>
    <row r="464" spans="3:13" ht="19.5" customHeight="1">
      <c r="C464" s="20" t="str">
        <f>IF(K448=1,K466,K467)</f>
        <v>qmax=148.88kN/m2&lt;qa=300kN/m2   (OK)</v>
      </c>
      <c r="K464" s="78" t="str">
        <f>T418&amp;"^2"</f>
        <v>2.15^2</v>
      </c>
      <c r="L464" s="78"/>
      <c r="M464" s="78"/>
    </row>
    <row r="465" ht="19.5" customHeight="1">
      <c r="S465" s="20" t="s">
        <v>135</v>
      </c>
    </row>
    <row r="466" ht="19.5" customHeight="1">
      <c r="K466" s="20" t="str">
        <f>"qmax="&amp;T462&amp;U462&amp;V462&amp;W462&amp;Y462</f>
        <v>qmax=148.88kN/m2&lt;qa=300kN/m2   (OK)</v>
      </c>
    </row>
    <row r="467" spans="11:25" ht="19.5" customHeight="1">
      <c r="K467" s="20" t="str">
        <f>"qmax="&amp;T467&amp;U467&amp;V467&amp;W467&amp;Y467</f>
        <v>qmax=152.9kN/m2&lt;qa=300kN/m2   (OK)</v>
      </c>
      <c r="S467" s="20" t="s">
        <v>202</v>
      </c>
      <c r="T467" s="20">
        <f>P458</f>
        <v>152.9</v>
      </c>
      <c r="U467" s="20" t="s">
        <v>29</v>
      </c>
      <c r="V467" s="20" t="str">
        <f>IF(T467&lt;T463,"&lt;","&gt;")</f>
        <v>&lt;</v>
      </c>
      <c r="W467" s="20" t="str">
        <f>W462</f>
        <v>qa=300kN/m2</v>
      </c>
      <c r="Y467" s="28" t="str">
        <f>IF(T467&gt;T463,"   (NG)","   (OK)")</f>
        <v>   (OK)</v>
      </c>
    </row>
  </sheetData>
  <mergeCells count="73">
    <mergeCell ref="K463:M463"/>
    <mergeCell ref="N462:P463"/>
    <mergeCell ref="K464:M464"/>
    <mergeCell ref="C461:E461"/>
    <mergeCell ref="K462:L462"/>
    <mergeCell ref="B458:B459"/>
    <mergeCell ref="K451:L451"/>
    <mergeCell ref="K452:L452"/>
    <mergeCell ref="K461:L461"/>
    <mergeCell ref="B460:B461"/>
    <mergeCell ref="K459:L459"/>
    <mergeCell ref="C453:D453"/>
    <mergeCell ref="C454:E454"/>
    <mergeCell ref="F454:H455"/>
    <mergeCell ref="K458:L458"/>
    <mergeCell ref="B446:B447"/>
    <mergeCell ref="C446:E446"/>
    <mergeCell ref="C447:E447"/>
    <mergeCell ref="C452:D452"/>
    <mergeCell ref="B452:B453"/>
    <mergeCell ref="B454:B455"/>
    <mergeCell ref="K453:M453"/>
    <mergeCell ref="K454:M454"/>
    <mergeCell ref="C455:E455"/>
    <mergeCell ref="D217:G217"/>
    <mergeCell ref="B444:B445"/>
    <mergeCell ref="C444:D444"/>
    <mergeCell ref="C445:D445"/>
    <mergeCell ref="C221:C222"/>
    <mergeCell ref="D221:F221"/>
    <mergeCell ref="D222:F222"/>
    <mergeCell ref="G221:H222"/>
    <mergeCell ref="C219:C220"/>
    <mergeCell ref="D219:E219"/>
    <mergeCell ref="F219:F220"/>
    <mergeCell ref="B361:B362"/>
    <mergeCell ref="D363:E364"/>
    <mergeCell ref="C360:D360"/>
    <mergeCell ref="E359:F360"/>
    <mergeCell ref="B357:B358"/>
    <mergeCell ref="C357:D357"/>
    <mergeCell ref="C358:D358"/>
    <mergeCell ref="D361:D362"/>
    <mergeCell ref="B420:B421"/>
    <mergeCell ref="C420:D420"/>
    <mergeCell ref="C421:D421"/>
    <mergeCell ref="D220:E220"/>
    <mergeCell ref="B359:B360"/>
    <mergeCell ref="C359:D359"/>
    <mergeCell ref="B368:B369"/>
    <mergeCell ref="C368:E368"/>
    <mergeCell ref="C369:E369"/>
    <mergeCell ref="B363:B364"/>
    <mergeCell ref="B425:B426"/>
    <mergeCell ref="D425:D426"/>
    <mergeCell ref="B366:B367"/>
    <mergeCell ref="B427:B428"/>
    <mergeCell ref="D427:E428"/>
    <mergeCell ref="B393:B394"/>
    <mergeCell ref="B422:B423"/>
    <mergeCell ref="C422:D422"/>
    <mergeCell ref="C423:D423"/>
    <mergeCell ref="E422:E423"/>
    <mergeCell ref="C460:E460"/>
    <mergeCell ref="F460:H461"/>
    <mergeCell ref="C366:D366"/>
    <mergeCell ref="C367:D367"/>
    <mergeCell ref="F368:G369"/>
    <mergeCell ref="F446:H447"/>
    <mergeCell ref="N453:P454"/>
    <mergeCell ref="M458:O459"/>
    <mergeCell ref="C458:D458"/>
    <mergeCell ref="C459:D4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&amp;C&amp;8複合擁壁</oddHeader>
    <oddFooter>&amp;C&amp;10&amp;P</oddFooter>
  </headerFooter>
  <rowBreaks count="14" manualBreakCount="14">
    <brk id="37" max="8" man="1"/>
    <brk id="57" max="8" man="1"/>
    <brk id="92" max="255" man="1"/>
    <brk id="127" max="255" man="1"/>
    <brk id="160" max="8" man="1"/>
    <brk id="196" max="8" man="1"/>
    <brk id="223" max="8" man="1"/>
    <brk id="259" max="255" man="1"/>
    <brk id="294" max="8" man="1"/>
    <brk id="328" max="8" man="1"/>
    <brk id="364" max="8" man="1"/>
    <brk id="371" max="255" man="1"/>
    <brk id="400" max="8" man="1"/>
    <brk id="43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B265"/>
  <sheetViews>
    <sheetView zoomScale="75" zoomScaleNormal="75" workbookViewId="0" topLeftCell="O10">
      <selection activeCell="W29" sqref="W29:AA39"/>
    </sheetView>
  </sheetViews>
  <sheetFormatPr defaultColWidth="9.00390625" defaultRowHeight="13.5"/>
  <sheetData>
    <row r="2" spans="2:4" ht="13.5">
      <c r="B2" t="s">
        <v>17</v>
      </c>
      <c r="C2">
        <f>'入力'!D15</f>
        <v>20</v>
      </c>
      <c r="D2" t="s">
        <v>10</v>
      </c>
    </row>
    <row r="3" spans="2:27" ht="13.5">
      <c r="B3" t="s">
        <v>18</v>
      </c>
      <c r="C3">
        <f>'入力'!D16</f>
        <v>35</v>
      </c>
      <c r="D3" t="s">
        <v>8</v>
      </c>
      <c r="E3">
        <f>C3*PI()/180</f>
        <v>0.6108652381980153</v>
      </c>
      <c r="F3" t="s">
        <v>7</v>
      </c>
      <c r="P3" t="s">
        <v>63</v>
      </c>
      <c r="Q3">
        <f>ATAN(R16/(P15-P12))</f>
        <v>1.2554342612095652</v>
      </c>
      <c r="R3" t="s">
        <v>64</v>
      </c>
      <c r="S3" t="s">
        <v>66</v>
      </c>
      <c r="T3">
        <f>SIN(Q4)/SIN(Q4-'出力'!$T$132)*E142</f>
        <v>7.458511512790385</v>
      </c>
      <c r="W3" t="s">
        <v>63</v>
      </c>
      <c r="X3">
        <f>ATAN(Y16/(W15-W12))</f>
        <v>1.1947726996853862</v>
      </c>
      <c r="Y3" t="s">
        <v>64</v>
      </c>
      <c r="Z3" t="s">
        <v>66</v>
      </c>
      <c r="AA3">
        <f>SIN(X4)/SIN(X4-'出力'!$T$132)*E221</f>
        <v>7.156548414123361</v>
      </c>
    </row>
    <row r="4" spans="2:25" ht="12.75" customHeight="1">
      <c r="B4" t="s">
        <v>37</v>
      </c>
      <c r="C4">
        <f>ATAN('出力'!T41)</f>
        <v>0</v>
      </c>
      <c r="D4" t="s">
        <v>7</v>
      </c>
      <c r="P4" t="s">
        <v>65</v>
      </c>
      <c r="Q4">
        <f>D142</f>
        <v>0.9424777960769379</v>
      </c>
      <c r="R4" t="s">
        <v>64</v>
      </c>
      <c r="W4" t="s">
        <v>65</v>
      </c>
      <c r="X4">
        <f>D221</f>
        <v>0.890117918517108</v>
      </c>
      <c r="Y4" t="s">
        <v>64</v>
      </c>
    </row>
    <row r="5" spans="2:28" ht="13.5">
      <c r="B5" t="s">
        <v>206</v>
      </c>
      <c r="C5">
        <f>'入力'!D11</f>
        <v>10</v>
      </c>
      <c r="D5" t="s">
        <v>163</v>
      </c>
      <c r="O5" s="8" t="s">
        <v>149</v>
      </c>
      <c r="P5" s="8" t="s">
        <v>48</v>
      </c>
      <c r="Q5" s="8" t="s">
        <v>53</v>
      </c>
      <c r="R5" s="8" t="s">
        <v>49</v>
      </c>
      <c r="S5" s="8" t="s">
        <v>50</v>
      </c>
      <c r="T5" s="8" t="s">
        <v>54</v>
      </c>
      <c r="U5" s="8" t="s">
        <v>67</v>
      </c>
      <c r="V5" t="s">
        <v>243</v>
      </c>
      <c r="W5" t="s">
        <v>48</v>
      </c>
      <c r="X5" t="s">
        <v>53</v>
      </c>
      <c r="Y5" t="s">
        <v>49</v>
      </c>
      <c r="Z5" t="s">
        <v>50</v>
      </c>
      <c r="AA5" t="s">
        <v>54</v>
      </c>
      <c r="AB5" t="s">
        <v>67</v>
      </c>
    </row>
    <row r="6" spans="2:24" ht="13.5">
      <c r="B6" t="s">
        <v>205</v>
      </c>
      <c r="C6">
        <f>ATAN(-'入力'!D4)</f>
        <v>-0.4636476090008061</v>
      </c>
      <c r="D6" t="s">
        <v>7</v>
      </c>
      <c r="O6" s="8">
        <v>0</v>
      </c>
      <c r="P6" s="8">
        <v>0</v>
      </c>
      <c r="Q6" s="8">
        <v>0</v>
      </c>
      <c r="R6" s="8"/>
      <c r="S6" s="8"/>
      <c r="T6" s="8"/>
      <c r="U6" s="8"/>
      <c r="W6">
        <v>0</v>
      </c>
      <c r="X6">
        <v>0</v>
      </c>
    </row>
    <row r="7" spans="2:24" ht="13.5">
      <c r="B7" t="s">
        <v>24</v>
      </c>
      <c r="C7">
        <f>ATAN(1/'入力'!D14)</f>
        <v>0.5880026035475675</v>
      </c>
      <c r="D7" t="s">
        <v>7</v>
      </c>
      <c r="O7" s="8">
        <f aca="true" t="shared" si="0" ref="O7:O14">O6+1</f>
        <v>1</v>
      </c>
      <c r="P7" s="8">
        <f>Q7*'出力'!T25</f>
        <v>1.5</v>
      </c>
      <c r="Q7" s="8">
        <f>'出力'!T23</f>
        <v>3</v>
      </c>
      <c r="R7" s="8"/>
      <c r="S7" s="8"/>
      <c r="T7" s="8"/>
      <c r="U7" s="8"/>
      <c r="W7">
        <f>X7*'出力'!T25</f>
        <v>0.8049999999999997</v>
      </c>
      <c r="X7">
        <f>X8</f>
        <v>1.6099999999999994</v>
      </c>
    </row>
    <row r="8" spans="2:24" ht="13.5">
      <c r="B8" t="s">
        <v>19</v>
      </c>
      <c r="C8">
        <f>E3*2/3</f>
        <v>0.4072434921320102</v>
      </c>
      <c r="D8" t="s">
        <v>7</v>
      </c>
      <c r="O8" s="8">
        <f t="shared" si="0"/>
        <v>2</v>
      </c>
      <c r="P8" s="8">
        <f>P7+'出力'!T24</f>
        <v>1.7</v>
      </c>
      <c r="Q8" s="8">
        <f>Q7</f>
        <v>3</v>
      </c>
      <c r="R8" s="8"/>
      <c r="S8" s="8"/>
      <c r="T8" s="8"/>
      <c r="U8" s="8"/>
      <c r="W8">
        <f>W7+'出力'!T24</f>
        <v>1.0049999999999997</v>
      </c>
      <c r="X8">
        <f>X9-'出力'!T18</f>
        <v>1.6099999999999994</v>
      </c>
    </row>
    <row r="9" spans="2:24" ht="13.5">
      <c r="B9" t="s">
        <v>207</v>
      </c>
      <c r="C9">
        <f>'入力'!D13</f>
        <v>0</v>
      </c>
      <c r="D9" t="s">
        <v>14</v>
      </c>
      <c r="O9" s="8">
        <f t="shared" si="0"/>
        <v>3</v>
      </c>
      <c r="P9" s="8">
        <f>-'出力'!T18*'出力'!V20+P8</f>
        <v>4.2</v>
      </c>
      <c r="Q9" s="8">
        <f>Q8+'出力'!T18</f>
        <v>8</v>
      </c>
      <c r="R9" s="8"/>
      <c r="S9" s="8"/>
      <c r="T9" s="8"/>
      <c r="U9" s="8"/>
      <c r="W9">
        <f>-'出力'!T18*'出力'!V20+W8</f>
        <v>3.505</v>
      </c>
      <c r="X9">
        <f>X10</f>
        <v>6.609999999999999</v>
      </c>
    </row>
    <row r="10" spans="2:24" ht="13.5">
      <c r="B10" t="s">
        <v>11</v>
      </c>
      <c r="C10">
        <f>'出力'!T138</f>
        <v>5.22</v>
      </c>
      <c r="D10" t="s">
        <v>14</v>
      </c>
      <c r="O10" s="8">
        <f t="shared" si="0"/>
        <v>4</v>
      </c>
      <c r="P10" s="8">
        <f>ROUND('出力'!$T19/COS('出力'!$T130)+P9,3)</f>
        <v>4.759</v>
      </c>
      <c r="Q10" s="8">
        <f>Q9</f>
        <v>8</v>
      </c>
      <c r="R10" s="8"/>
      <c r="S10" s="8"/>
      <c r="T10" s="8"/>
      <c r="U10" s="8"/>
      <c r="W10">
        <f>'出力'!$T19/COS('出力'!$T130)+W9</f>
        <v>4.064003688204955</v>
      </c>
      <c r="X10">
        <f>'出力'!T139/2+'出力'!T138</f>
        <v>6.609999999999999</v>
      </c>
    </row>
    <row r="11" spans="2:24" ht="13.5">
      <c r="B11" t="s">
        <v>25</v>
      </c>
      <c r="C11">
        <f>ATAN(G11/H11)</f>
        <v>1.1071487177940904</v>
      </c>
      <c r="D11" t="s">
        <v>64</v>
      </c>
      <c r="E11">
        <f>C11*180/PI()</f>
        <v>63.43494882292201</v>
      </c>
      <c r="F11" t="s">
        <v>208</v>
      </c>
      <c r="G11">
        <f>C9+C10</f>
        <v>5.22</v>
      </c>
      <c r="H11">
        <f>C10*'入力'!D4+'入力'!D13*'入力'!D14</f>
        <v>2.61</v>
      </c>
      <c r="O11" s="8">
        <f t="shared" si="0"/>
        <v>5</v>
      </c>
      <c r="P11" s="8">
        <f>ROUND(P10+'出力'!$T138*TAN('出力'!$T130),3)</f>
        <v>2.149</v>
      </c>
      <c r="Q11" s="8">
        <f>Q10-'出力'!$T138</f>
        <v>2.7800000000000002</v>
      </c>
      <c r="R11" s="8"/>
      <c r="S11" s="8"/>
      <c r="T11" s="8"/>
      <c r="U11" s="8"/>
      <c r="W11">
        <f>W10+(X10-X11)*TAN('出力'!$T130)</f>
        <v>1.454314329540788</v>
      </c>
      <c r="X11">
        <f>'出力'!T139/2</f>
        <v>1.3900000000000001</v>
      </c>
    </row>
    <row r="12" spans="2:24" ht="13.5">
      <c r="B12" s="52" t="s">
        <v>209</v>
      </c>
      <c r="C12">
        <f>0.5*C2*C10^2</f>
        <v>272.484</v>
      </c>
      <c r="D12" t="s">
        <v>45</v>
      </c>
      <c r="O12" s="8">
        <f t="shared" si="0"/>
        <v>6</v>
      </c>
      <c r="P12" s="8">
        <f>ROUND('出力'!$T139*TAN('出力'!$T131)+P11,3)</f>
        <v>2.149</v>
      </c>
      <c r="Q12" s="8">
        <v>0</v>
      </c>
      <c r="R12" s="8"/>
      <c r="S12" s="8"/>
      <c r="T12" s="8"/>
      <c r="U12" s="8"/>
      <c r="W12">
        <f>X11*TAN('出力'!$T131)+W11</f>
        <v>1.454314329540788</v>
      </c>
      <c r="X12">
        <f>Q12</f>
        <v>0</v>
      </c>
    </row>
    <row r="13" spans="15:24" ht="13.5">
      <c r="O13" s="8">
        <f t="shared" si="0"/>
        <v>7</v>
      </c>
      <c r="P13" s="8">
        <v>0</v>
      </c>
      <c r="Q13" s="8">
        <v>0</v>
      </c>
      <c r="R13" s="8"/>
      <c r="S13" s="8"/>
      <c r="T13" s="8"/>
      <c r="U13" s="8"/>
      <c r="W13">
        <f>P13</f>
        <v>0</v>
      </c>
      <c r="X13">
        <f>Q13</f>
        <v>0</v>
      </c>
    </row>
    <row r="14" spans="15:25" ht="13.5">
      <c r="O14" s="8">
        <f t="shared" si="0"/>
        <v>8</v>
      </c>
      <c r="P14" s="8">
        <f>P10</f>
        <v>4.759</v>
      </c>
      <c r="Q14" s="8"/>
      <c r="R14" s="8">
        <f>Q10</f>
        <v>8</v>
      </c>
      <c r="S14" s="8"/>
      <c r="T14" s="8"/>
      <c r="U14" s="8"/>
      <c r="W14">
        <f>W10</f>
        <v>4.064003688204955</v>
      </c>
      <c r="Y14">
        <f>X10</f>
        <v>6.609999999999999</v>
      </c>
    </row>
    <row r="15" spans="2:25" ht="13.5">
      <c r="B15" s="54" t="s">
        <v>223</v>
      </c>
      <c r="C15" s="55" t="s">
        <v>26</v>
      </c>
      <c r="D15" s="55" t="s">
        <v>27</v>
      </c>
      <c r="E15" s="55" t="s">
        <v>30</v>
      </c>
      <c r="F15" s="55" t="s">
        <v>31</v>
      </c>
      <c r="G15" s="55" t="s">
        <v>35</v>
      </c>
      <c r="H15" s="55" t="s">
        <v>32</v>
      </c>
      <c r="I15" s="55" t="s">
        <v>33</v>
      </c>
      <c r="J15" s="55" t="s">
        <v>34</v>
      </c>
      <c r="K15" s="56" t="s">
        <v>39</v>
      </c>
      <c r="O15" s="8">
        <f>O14+1</f>
        <v>9</v>
      </c>
      <c r="P15" s="8">
        <f>ROUND(P14+'出力'!$T43*'出力'!$V44,3)</f>
        <v>4.759</v>
      </c>
      <c r="Q15" s="8"/>
      <c r="R15" s="8">
        <f>R14+'出力'!T43</f>
        <v>8</v>
      </c>
      <c r="S15" s="8"/>
      <c r="T15" s="8"/>
      <c r="U15" s="8"/>
      <c r="W15">
        <f>W14+'出力'!$T43*'出力'!$V44</f>
        <v>4.064003688204955</v>
      </c>
      <c r="Y15">
        <f>Y14+'出力'!T43</f>
        <v>6.609999999999999</v>
      </c>
    </row>
    <row r="16" spans="2:25" ht="13.5">
      <c r="B16" s="57">
        <f>ROUND((G16/COS($C$4)*SIN(D16-$E$3+$C$4))/COS(K16),2)</f>
        <v>4.98</v>
      </c>
      <c r="C16" s="58">
        <f>C3+1</f>
        <v>36</v>
      </c>
      <c r="D16" s="58">
        <f>C16*PI()/180</f>
        <v>0.6283185307179586</v>
      </c>
      <c r="E16" s="58">
        <f>ROUND(C$10*(TAN($C$6)+1/TAN(D16)),2)</f>
        <v>4.57</v>
      </c>
      <c r="F16" s="58">
        <f>ROUND($C$2/2*((1/TAN(D16)+TAN($C$6))*$C$10^2),2)</f>
        <v>238.8</v>
      </c>
      <c r="G16" s="58">
        <f>IF($C$9=0,H16,IF(D16&lt;=$C$11,I16,J16))</f>
        <v>284.5</v>
      </c>
      <c r="H16" s="58">
        <f>ROUND(F16+E16*'出力'!$T$39,2)</f>
        <v>284.5</v>
      </c>
      <c r="I16" s="58">
        <f>ROUND(F16+$C$2/2*(2*E16-(1/TAN('出力'!$T$132)-1/TAN(D16))*'出力'!$T$43)+(E16-(1/TAN('出力'!$T$132)-1/TAN(D16))*'出力'!$T$43)*'出力'!$T$39,2)</f>
        <v>375.9</v>
      </c>
      <c r="J16" s="58">
        <f>ROUND(F16+$C$2/2*SIN(D16)*SIN('出力'!$T$132)/SIN(D16-'出力'!$T$132)*E16^2,2)</f>
        <v>1928.15</v>
      </c>
      <c r="K16" s="59">
        <f>D16-$E$3-$C$6-$C$8</f>
        <v>0.07385740938873919</v>
      </c>
      <c r="O16" s="8">
        <f aca="true" t="shared" si="1" ref="O16:O25">O15+1</f>
        <v>10</v>
      </c>
      <c r="P16" s="8">
        <f>P18+1</f>
        <v>8.961</v>
      </c>
      <c r="Q16" s="8"/>
      <c r="R16" s="8">
        <f>R15</f>
        <v>8</v>
      </c>
      <c r="S16" s="8"/>
      <c r="T16" s="8"/>
      <c r="U16" s="8"/>
      <c r="W16">
        <f>W18+1</f>
        <v>7.806986788959787</v>
      </c>
      <c r="Y16">
        <f>Y15</f>
        <v>6.609999999999999</v>
      </c>
    </row>
    <row r="17" spans="2:26" ht="13.5">
      <c r="B17" s="57">
        <f aca="true" t="shared" si="2" ref="B17:B57">ROUND((G17/COS($C$4)*SIN(D17-$E$3+$C$4))/COS(K17),2)</f>
        <v>9.41</v>
      </c>
      <c r="C17" s="58">
        <f>C16+1</f>
        <v>37</v>
      </c>
      <c r="D17" s="58">
        <f>C17*PI()/180</f>
        <v>0.6457718232379019</v>
      </c>
      <c r="E17" s="58">
        <f>ROUND(C$10*(TAN($C$6)+1/TAN(D17)),2)</f>
        <v>4.32</v>
      </c>
      <c r="F17" s="58">
        <f>ROUND($C$2/2*((1/TAN(D17)+TAN($C$6))*$C$10^2),2)</f>
        <v>225.36</v>
      </c>
      <c r="G17" s="58">
        <f aca="true" t="shared" si="3" ref="G17:G57">IF($C$9=0,H17,IF(D17&lt;=$C$11,I17,J17))</f>
        <v>268.56</v>
      </c>
      <c r="H17" s="58">
        <f>ROUND(F17+E17*'出力'!$T$39,2)</f>
        <v>268.56</v>
      </c>
      <c r="I17" s="58">
        <f>ROUND(F17+$C$2/2*(2*E17-(1/TAN('出力'!$T$132)-1/TAN(D17))*'出力'!$T$43)+(E17-(1/TAN('出力'!$T$132)-1/TAN(D17))*'出力'!$T$43)*'出力'!$T$39,2)</f>
        <v>354.96</v>
      </c>
      <c r="J17" s="58">
        <f>ROUND(F17+$C$2/2*SIN(D17)*SIN('出力'!$T$132)/SIN(D17-'出力'!$T$132)*E17^2,2)</f>
        <v>1304.34</v>
      </c>
      <c r="K17" s="59">
        <f aca="true" t="shared" si="4" ref="K17:K57">D17-$E$3-$C$6-$C$8</f>
        <v>0.09131070190868251</v>
      </c>
      <c r="O17" s="8">
        <f t="shared" si="1"/>
        <v>11</v>
      </c>
      <c r="P17" s="8">
        <f>P12</f>
        <v>2.149</v>
      </c>
      <c r="Q17" s="8"/>
      <c r="R17" s="8"/>
      <c r="S17" s="8">
        <f>Q12</f>
        <v>0</v>
      </c>
      <c r="T17" s="8"/>
      <c r="U17" s="8"/>
      <c r="W17">
        <f>W12</f>
        <v>1.454314329540788</v>
      </c>
      <c r="Z17">
        <f>X12</f>
        <v>0</v>
      </c>
    </row>
    <row r="18" spans="2:26" ht="13.5">
      <c r="B18" s="57">
        <f t="shared" si="2"/>
        <v>13.33</v>
      </c>
      <c r="C18" s="58">
        <f>C17+1</f>
        <v>38</v>
      </c>
      <c r="D18" s="58">
        <f aca="true" t="shared" si="5" ref="D18:D57">C18*PI()/180</f>
        <v>0.6632251157578452</v>
      </c>
      <c r="E18" s="58">
        <f>ROUND(C$10*(TAN($C$6)+1/TAN(D18)),2)</f>
        <v>4.07</v>
      </c>
      <c r="F18" s="58">
        <f>ROUND($C$2/2*((1/TAN(D18)+TAN($C$6))*$C$10^2),2)</f>
        <v>212.52</v>
      </c>
      <c r="G18" s="58">
        <f t="shared" si="3"/>
        <v>253.22</v>
      </c>
      <c r="H18" s="58">
        <f>ROUND(F18+E18*'出力'!$T$39,2)</f>
        <v>253.22</v>
      </c>
      <c r="I18" s="58">
        <f>ROUND(F18+$C$2/2*(2*E18-(1/TAN('出力'!$T$132)-1/TAN(D18))*'出力'!$T$43)+(E18-(1/TAN('出力'!$T$132)-1/TAN(D18))*'出力'!$T$43)*'出力'!$T$39,2)</f>
        <v>334.62</v>
      </c>
      <c r="J18" s="58">
        <f>ROUND(F18+$C$2/2*SIN(D18)*SIN('出力'!$T$132)/SIN(D18-'出力'!$T$132)*E18^2,2)</f>
        <v>965.24</v>
      </c>
      <c r="K18" s="59">
        <f t="shared" si="4"/>
        <v>0.10876399442862567</v>
      </c>
      <c r="O18" s="8">
        <f t="shared" si="1"/>
        <v>12</v>
      </c>
      <c r="P18" s="8">
        <f>ROUND(P17+S18/TAN(D142),3)</f>
        <v>7.961</v>
      </c>
      <c r="Q18" s="8"/>
      <c r="R18" s="8"/>
      <c r="S18" s="8">
        <f>IF(Q4&lt;=Q3,R16,T3*SIN('出力'!$T$132)+Q10)</f>
        <v>8</v>
      </c>
      <c r="T18" s="8"/>
      <c r="U18" s="8"/>
      <c r="W18">
        <f>W17+Z18/TAN(D221)</f>
        <v>6.806986788959787</v>
      </c>
      <c r="Z18">
        <f>IF(X4&lt;=X3,Y16,AA3*SIN('出力'!$T$132)+X10)</f>
        <v>6.609999999999999</v>
      </c>
    </row>
    <row r="19" spans="2:27" ht="13.5">
      <c r="B19" s="57">
        <f t="shared" si="2"/>
        <v>16.78</v>
      </c>
      <c r="C19" s="58">
        <f aca="true" t="shared" si="6" ref="C19:C33">C18+1</f>
        <v>39</v>
      </c>
      <c r="D19" s="58">
        <f t="shared" si="5"/>
        <v>0.6806784082777885</v>
      </c>
      <c r="E19" s="58">
        <f aca="true" t="shared" si="7" ref="E19:E32">ROUND(C$10*(TAN($C$6)+1/TAN(D19)),2)</f>
        <v>3.84</v>
      </c>
      <c r="F19" s="58">
        <f aca="true" t="shared" si="8" ref="F19:F33">ROUND($C$2/2*((1/TAN(D19)+TAN($C$6))*$C$10^2),2)</f>
        <v>200.25</v>
      </c>
      <c r="G19" s="58">
        <f t="shared" si="3"/>
        <v>238.65</v>
      </c>
      <c r="H19" s="58">
        <f>ROUND(F19+E19*'出力'!$T$39,2)</f>
        <v>238.65</v>
      </c>
      <c r="I19" s="58">
        <f>ROUND(F19+$C$2/2*(2*E19-(1/TAN('出力'!$T$132)-1/TAN(D19))*'出力'!$T$43)+(E19-(1/TAN('出力'!$T$132)-1/TAN(D19))*'出力'!$T$43)*'出力'!$T$39,2)</f>
        <v>315.45</v>
      </c>
      <c r="J19" s="58">
        <f>ROUND(F19+$C$2/2*SIN(D19)*SIN('出力'!$T$132)/SIN(D19-'出力'!$T$132)*E19^2,2)</f>
        <v>756.45</v>
      </c>
      <c r="K19" s="59">
        <f t="shared" si="4"/>
        <v>0.12621728694856899</v>
      </c>
      <c r="O19" s="8">
        <f t="shared" si="1"/>
        <v>13</v>
      </c>
      <c r="P19" s="8">
        <f>P15</f>
        <v>4.759</v>
      </c>
      <c r="Q19" s="8"/>
      <c r="R19" s="8"/>
      <c r="S19" s="8"/>
      <c r="T19" s="8">
        <f>R15</f>
        <v>8</v>
      </c>
      <c r="U19" s="8"/>
      <c r="W19">
        <f>W15</f>
        <v>4.064003688204955</v>
      </c>
      <c r="AA19">
        <f>Y15</f>
        <v>6.609999999999999</v>
      </c>
    </row>
    <row r="20" spans="2:27" ht="13.5">
      <c r="B20" s="57">
        <f t="shared" si="2"/>
        <v>19.78</v>
      </c>
      <c r="C20" s="58">
        <f t="shared" si="6"/>
        <v>40</v>
      </c>
      <c r="D20" s="58">
        <f t="shared" si="5"/>
        <v>0.6981317007977318</v>
      </c>
      <c r="E20" s="58">
        <f t="shared" si="7"/>
        <v>3.61</v>
      </c>
      <c r="F20" s="58">
        <f t="shared" si="8"/>
        <v>188.49</v>
      </c>
      <c r="G20" s="58">
        <f t="shared" si="3"/>
        <v>224.59</v>
      </c>
      <c r="H20" s="58">
        <f>ROUND(F20+E20*'出力'!$T$39,2)</f>
        <v>224.59</v>
      </c>
      <c r="I20" s="58">
        <f>ROUND(F20+$C$2/2*(2*E20-(1/TAN('出力'!$T$132)-1/TAN(D20))*'出力'!$T$43)+(E20-(1/TAN('出力'!$T$132)-1/TAN(D20))*'出力'!$T$43)*'出力'!$T$39,2)</f>
        <v>296.79</v>
      </c>
      <c r="J20" s="58">
        <f>ROUND(F20+$C$2/2*SIN(D20)*SIN('出力'!$T$132)/SIN(D20-'出力'!$T$132)*E20^2,2)</f>
        <v>611.26</v>
      </c>
      <c r="K20" s="59">
        <f t="shared" si="4"/>
        <v>0.1436705794685123</v>
      </c>
      <c r="O20" s="8">
        <f t="shared" si="1"/>
        <v>14</v>
      </c>
      <c r="P20" s="8">
        <f>P19</f>
        <v>4.759</v>
      </c>
      <c r="Q20" s="8"/>
      <c r="R20" s="8"/>
      <c r="S20" s="8"/>
      <c r="T20" s="8">
        <f>T19+'出力'!$T39/$C2</f>
        <v>8.5</v>
      </c>
      <c r="U20" s="8"/>
      <c r="W20">
        <f>W19</f>
        <v>4.064003688204955</v>
      </c>
      <c r="AA20">
        <f>AA19+'出力'!$T39/$C2</f>
        <v>7.109999999999999</v>
      </c>
    </row>
    <row r="21" spans="2:27" ht="13.5">
      <c r="B21" s="57">
        <f t="shared" si="2"/>
        <v>22.36</v>
      </c>
      <c r="C21" s="58">
        <f t="shared" si="6"/>
        <v>41</v>
      </c>
      <c r="D21" s="58">
        <f t="shared" si="5"/>
        <v>0.715584993317675</v>
      </c>
      <c r="E21" s="58">
        <f t="shared" si="7"/>
        <v>3.39</v>
      </c>
      <c r="F21" s="58">
        <f t="shared" si="8"/>
        <v>177.21</v>
      </c>
      <c r="G21" s="58">
        <f t="shared" si="3"/>
        <v>211.11</v>
      </c>
      <c r="H21" s="58">
        <f>ROUND(F21+E21*'出力'!$T$39,2)</f>
        <v>211.11</v>
      </c>
      <c r="I21" s="58">
        <f>ROUND(F21+$C$2/2*(2*E21-(1/TAN('出力'!$T$132)-1/TAN(D21))*'出力'!$T$43)+(E21-(1/TAN('出力'!$T$132)-1/TAN(D21))*'出力'!$T$43)*'出力'!$T$39,2)</f>
        <v>278.91</v>
      </c>
      <c r="J21" s="58">
        <f>ROUND(F21+$C$2/2*SIN(D21)*SIN('出力'!$T$132)/SIN(D21-'出力'!$T$132)*E21^2,2)</f>
        <v>505.89</v>
      </c>
      <c r="K21" s="59">
        <f t="shared" si="4"/>
        <v>0.16112387198845562</v>
      </c>
      <c r="O21" s="8">
        <f t="shared" si="1"/>
        <v>15</v>
      </c>
      <c r="P21" s="8">
        <f>P16</f>
        <v>8.961</v>
      </c>
      <c r="Q21" s="8"/>
      <c r="R21" s="8"/>
      <c r="S21" s="8"/>
      <c r="T21" s="8">
        <f>T20</f>
        <v>8.5</v>
      </c>
      <c r="U21" s="8"/>
      <c r="W21">
        <f>W16</f>
        <v>7.806986788959787</v>
      </c>
      <c r="AA21">
        <f>AA20</f>
        <v>7.109999999999999</v>
      </c>
    </row>
    <row r="22" spans="2:28" ht="13.5">
      <c r="B22" s="57">
        <f t="shared" si="2"/>
        <v>24.55</v>
      </c>
      <c r="C22" s="58">
        <f t="shared" si="6"/>
        <v>42</v>
      </c>
      <c r="D22" s="58">
        <f t="shared" si="5"/>
        <v>0.7330382858376184</v>
      </c>
      <c r="E22" s="58">
        <f t="shared" si="7"/>
        <v>3.19</v>
      </c>
      <c r="F22" s="58">
        <f t="shared" si="8"/>
        <v>166.38</v>
      </c>
      <c r="G22" s="58">
        <f t="shared" si="3"/>
        <v>198.28</v>
      </c>
      <c r="H22" s="58">
        <f>ROUND(F22+E22*'出力'!$T$39,2)</f>
        <v>198.28</v>
      </c>
      <c r="I22" s="58">
        <f>ROUND(F22+$C$2/2*(2*E22-(1/TAN('出力'!$T$132)-1/TAN(D22))*'出力'!$T$43)+(E22-(1/TAN('出力'!$T$132)-1/TAN(D22))*'出力'!$T$43)*'出力'!$T$39,2)</f>
        <v>262.08</v>
      </c>
      <c r="J22" s="58">
        <f>ROUND(F22+$C$2/2*SIN(D22)*SIN('出力'!$T$132)/SIN(D22-'出力'!$T$132)*E22^2,2)</f>
        <v>427.71</v>
      </c>
      <c r="K22" s="59">
        <f t="shared" si="4"/>
        <v>0.17857716450839894</v>
      </c>
      <c r="O22" s="8">
        <f t="shared" si="1"/>
        <v>16</v>
      </c>
      <c r="P22" s="8">
        <f>P8</f>
        <v>1.7</v>
      </c>
      <c r="Q22" s="8"/>
      <c r="R22" s="8"/>
      <c r="S22" s="8"/>
      <c r="T22" s="8"/>
      <c r="U22" s="8">
        <f>Q8</f>
        <v>3</v>
      </c>
      <c r="W22">
        <f>W8</f>
        <v>1.0049999999999997</v>
      </c>
      <c r="AB22">
        <f>X8</f>
        <v>1.6099999999999994</v>
      </c>
    </row>
    <row r="23" spans="2:28" ht="13.5">
      <c r="B23" s="57">
        <f t="shared" si="2"/>
        <v>26.37</v>
      </c>
      <c r="C23" s="58">
        <f t="shared" si="6"/>
        <v>43</v>
      </c>
      <c r="D23" s="58">
        <f t="shared" si="5"/>
        <v>0.7504915783575616</v>
      </c>
      <c r="E23" s="58">
        <f t="shared" si="7"/>
        <v>2.99</v>
      </c>
      <c r="F23" s="58">
        <f t="shared" si="8"/>
        <v>155.96</v>
      </c>
      <c r="G23" s="58">
        <f t="shared" si="3"/>
        <v>185.86</v>
      </c>
      <c r="H23" s="58">
        <f>ROUND(F23+E23*'出力'!$T$39,2)</f>
        <v>185.86</v>
      </c>
      <c r="I23" s="58">
        <f>ROUND(F23+$C$2/2*(2*E23-(1/TAN('出力'!$T$132)-1/TAN(D23))*'出力'!$T$43)+(E23-(1/TAN('出力'!$T$132)-1/TAN(D23))*'出力'!$T$43)*'出力'!$T$39,2)</f>
        <v>245.66</v>
      </c>
      <c r="J23" s="58">
        <f>ROUND(F23+$C$2/2*SIN(D23)*SIN('出力'!$T$132)/SIN(D23-'出力'!$T$132)*E23^2,2)</f>
        <v>365.02</v>
      </c>
      <c r="K23" s="59">
        <f t="shared" si="4"/>
        <v>0.19603045702834226</v>
      </c>
      <c r="O23" s="8">
        <f t="shared" si="1"/>
        <v>17</v>
      </c>
      <c r="P23" s="8">
        <f>P11</f>
        <v>2.149</v>
      </c>
      <c r="Q23" s="8"/>
      <c r="R23" s="8"/>
      <c r="S23" s="8"/>
      <c r="T23" s="8"/>
      <c r="U23" s="8">
        <f>Q11</f>
        <v>2.7800000000000002</v>
      </c>
      <c r="W23">
        <f>W11</f>
        <v>1.454314329540788</v>
      </c>
      <c r="AB23">
        <f>X11</f>
        <v>1.3900000000000001</v>
      </c>
    </row>
    <row r="24" spans="2:22" ht="13.5">
      <c r="B24" s="57">
        <f t="shared" si="2"/>
        <v>27.84</v>
      </c>
      <c r="C24" s="58">
        <f t="shared" si="6"/>
        <v>44</v>
      </c>
      <c r="D24" s="58">
        <f t="shared" si="5"/>
        <v>0.767944870877505</v>
      </c>
      <c r="E24" s="58">
        <f t="shared" si="7"/>
        <v>2.8</v>
      </c>
      <c r="F24" s="58">
        <f t="shared" si="8"/>
        <v>145.92</v>
      </c>
      <c r="G24" s="58">
        <f t="shared" si="3"/>
        <v>173.92</v>
      </c>
      <c r="H24" s="58">
        <f>ROUND(F24+E24*'出力'!$T$39,2)</f>
        <v>173.92</v>
      </c>
      <c r="I24" s="58">
        <f>ROUND(F24+$C$2/2*(2*E24-(1/TAN('出力'!$T$132)-1/TAN(D24))*'出力'!$T$43)+(E24-(1/TAN('出力'!$T$132)-1/TAN(D24))*'出力'!$T$43)*'出力'!$T$39,2)</f>
        <v>229.92</v>
      </c>
      <c r="J24" s="58">
        <f>ROUND(F24+$C$2/2*SIN(D24)*SIN('出力'!$T$132)/SIN(D24-'出力'!$T$132)*E24^2,2)</f>
        <v>314.71</v>
      </c>
      <c r="K24" s="59">
        <f t="shared" si="4"/>
        <v>0.21348374954828558</v>
      </c>
      <c r="O24" s="8">
        <f t="shared" si="1"/>
        <v>18</v>
      </c>
      <c r="P24">
        <f>IF(V24&lt;='入力'!D6,V24*'入力'!D8,('入力'!D18-'入力'!D6)*'入力'!D4+'入力'!D7+'入力'!D6*'入力'!D8)</f>
        <v>0.75</v>
      </c>
      <c r="V24">
        <f>'入力'!D18</f>
        <v>1.5</v>
      </c>
    </row>
    <row r="25" spans="2:22" ht="13.5">
      <c r="B25" s="57">
        <f t="shared" si="2"/>
        <v>28.96</v>
      </c>
      <c r="C25" s="58">
        <f t="shared" si="6"/>
        <v>45</v>
      </c>
      <c r="D25" s="58">
        <f t="shared" si="5"/>
        <v>0.7853981633974483</v>
      </c>
      <c r="E25" s="58">
        <f t="shared" si="7"/>
        <v>2.61</v>
      </c>
      <c r="F25" s="58">
        <f t="shared" si="8"/>
        <v>136.24</v>
      </c>
      <c r="G25" s="58">
        <f t="shared" si="3"/>
        <v>162.34</v>
      </c>
      <c r="H25" s="58">
        <f>ROUND(F25+E25*'出力'!$T$39,2)</f>
        <v>162.34</v>
      </c>
      <c r="I25" s="58">
        <f>ROUND(F25+$C$2/2*(2*E25-(1/TAN('出力'!$T$132)-1/TAN(D25))*'出力'!$T$43)+(E25-(1/TAN('出力'!$T$132)-1/TAN(D25))*'出力'!$T$43)*'出力'!$T$39,2)</f>
        <v>214.54</v>
      </c>
      <c r="J25" s="58">
        <f>ROUND(F25+$C$2/2*SIN(D25)*SIN('出力'!$T$132)/SIN(D25-'出力'!$T$132)*E25^2,2)</f>
        <v>272.48</v>
      </c>
      <c r="K25" s="59">
        <f t="shared" si="4"/>
        <v>0.2309370420682289</v>
      </c>
      <c r="O25" s="8">
        <f t="shared" si="1"/>
        <v>19</v>
      </c>
      <c r="P25">
        <f>P24-V25</f>
        <v>-0.75</v>
      </c>
      <c r="V25">
        <f>V24</f>
        <v>1.5</v>
      </c>
    </row>
    <row r="26" spans="2:11" ht="13.5">
      <c r="B26" s="57">
        <f t="shared" si="2"/>
        <v>29.76</v>
      </c>
      <c r="C26" s="58">
        <f t="shared" si="6"/>
        <v>46</v>
      </c>
      <c r="D26" s="58">
        <f t="shared" si="5"/>
        <v>0.8028514559173915</v>
      </c>
      <c r="E26" s="58">
        <f t="shared" si="7"/>
        <v>2.43</v>
      </c>
      <c r="F26" s="58">
        <f t="shared" si="8"/>
        <v>126.89</v>
      </c>
      <c r="G26" s="58">
        <f t="shared" si="3"/>
        <v>151.19</v>
      </c>
      <c r="H26" s="58">
        <f>ROUND(F26+E26*'出力'!$T$39,2)</f>
        <v>151.19</v>
      </c>
      <c r="I26" s="58">
        <f>ROUND(F26+$C$2/2*(2*E26-(1/TAN('出力'!$T$132)-1/TAN(D26))*'出力'!$T$43)+(E26-(1/TAN('出力'!$T$132)-1/TAN(D26))*'出力'!$T$43)*'出力'!$T$39,2)</f>
        <v>199.79</v>
      </c>
      <c r="J26" s="58">
        <f>ROUND(F26+$C$2/2*SIN(D26)*SIN('出力'!$T$132)/SIN(D26-'出力'!$T$132)*E26^2,2)</f>
        <v>237.4</v>
      </c>
      <c r="K26" s="59">
        <f t="shared" si="4"/>
        <v>0.248390334588172</v>
      </c>
    </row>
    <row r="27" spans="2:11" ht="13.5">
      <c r="B27" s="57">
        <f t="shared" si="2"/>
        <v>30.26</v>
      </c>
      <c r="C27" s="58">
        <f t="shared" si="6"/>
        <v>47</v>
      </c>
      <c r="D27" s="58">
        <f t="shared" si="5"/>
        <v>0.8203047484373349</v>
      </c>
      <c r="E27" s="58">
        <f t="shared" si="7"/>
        <v>2.26</v>
      </c>
      <c r="F27" s="58">
        <f t="shared" si="8"/>
        <v>117.85</v>
      </c>
      <c r="G27" s="58">
        <f t="shared" si="3"/>
        <v>140.45</v>
      </c>
      <c r="H27" s="58">
        <f>ROUND(F27+E27*'出力'!$T$39,2)</f>
        <v>140.45</v>
      </c>
      <c r="I27" s="58">
        <f>ROUND(F27+$C$2/2*(2*E27-(1/TAN('出力'!$T$132)-1/TAN(D27))*'出力'!$T$43)+(E27-(1/TAN('出力'!$T$132)-1/TAN(D27))*'出力'!$T$43)*'出力'!$T$39,2)</f>
        <v>185.65</v>
      </c>
      <c r="J27" s="58">
        <f>ROUND(F27+$C$2/2*SIN(D27)*SIN('出力'!$T$132)/SIN(D27-'出力'!$T$132)*E27^2,2)</f>
        <v>207.85</v>
      </c>
      <c r="K27" s="59">
        <f t="shared" si="4"/>
        <v>0.26584362710811554</v>
      </c>
    </row>
    <row r="28" spans="2:11" ht="13.5">
      <c r="B28" s="57">
        <f t="shared" si="2"/>
        <v>30.46</v>
      </c>
      <c r="C28" s="58">
        <f t="shared" si="6"/>
        <v>48</v>
      </c>
      <c r="D28" s="58">
        <f t="shared" si="5"/>
        <v>0.8377580409572781</v>
      </c>
      <c r="E28" s="58">
        <f t="shared" si="7"/>
        <v>2.09</v>
      </c>
      <c r="F28" s="58">
        <f t="shared" si="8"/>
        <v>109.1</v>
      </c>
      <c r="G28" s="58">
        <f t="shared" si="3"/>
        <v>130</v>
      </c>
      <c r="H28" s="58">
        <f>ROUND(F28+E28*'出力'!$T$39,2)</f>
        <v>130</v>
      </c>
      <c r="I28" s="58">
        <f>ROUND(F28+$C$2/2*(2*E28-(1/TAN('出力'!$T$132)-1/TAN(D28))*'出力'!$T$43)+(E28-(1/TAN('出力'!$T$132)-1/TAN(D28))*'出力'!$T$43)*'出力'!$T$39,2)</f>
        <v>171.8</v>
      </c>
      <c r="J28" s="58">
        <f>ROUND(F28+$C$2/2*SIN(D28)*SIN('出力'!$T$132)/SIN(D28-'出力'!$T$132)*E28^2,2)</f>
        <v>181.95</v>
      </c>
      <c r="K28" s="59">
        <f t="shared" si="4"/>
        <v>0.28329691962805864</v>
      </c>
    </row>
    <row r="29" spans="2:26" ht="15" customHeight="1">
      <c r="B29" s="57">
        <f t="shared" si="2"/>
        <v>30.37</v>
      </c>
      <c r="C29" s="58">
        <f t="shared" si="6"/>
        <v>49</v>
      </c>
      <c r="D29" s="58">
        <f t="shared" si="5"/>
        <v>0.8552113334772214</v>
      </c>
      <c r="E29" s="58">
        <f t="shared" si="7"/>
        <v>1.93</v>
      </c>
      <c r="F29" s="58">
        <f t="shared" si="8"/>
        <v>100.62</v>
      </c>
      <c r="G29" s="58">
        <f t="shared" si="3"/>
        <v>119.92</v>
      </c>
      <c r="H29" s="58">
        <f>ROUND(F29+E29*'出力'!$T$39,2)</f>
        <v>119.92</v>
      </c>
      <c r="I29" s="58">
        <f>ROUND(F29+$C$2/2*(2*E29-(1/TAN('出力'!$T$132)-1/TAN(D29))*'出力'!$T$43)+(E29-(1/TAN('出力'!$T$132)-1/TAN(D29))*'出力'!$T$43)*'出力'!$T$39,2)</f>
        <v>158.52</v>
      </c>
      <c r="J29" s="58">
        <f>ROUND(F29+$C$2/2*SIN(D29)*SIN('出力'!$T$132)/SIN(D29-'出力'!$T$132)*E29^2,2)</f>
        <v>159.68</v>
      </c>
      <c r="K29" s="59">
        <f t="shared" si="4"/>
        <v>0.30075021214800196</v>
      </c>
      <c r="P29" s="3" t="s">
        <v>55</v>
      </c>
      <c r="Q29" s="4" t="s">
        <v>56</v>
      </c>
      <c r="R29" s="4" t="s">
        <v>57</v>
      </c>
      <c r="S29" s="4" t="s">
        <v>58</v>
      </c>
      <c r="W29" s="3" t="s">
        <v>55</v>
      </c>
      <c r="X29" s="4" t="s">
        <v>56</v>
      </c>
      <c r="Y29" s="4" t="s">
        <v>57</v>
      </c>
      <c r="Z29" s="4" t="s">
        <v>58</v>
      </c>
    </row>
    <row r="30" spans="2:26" ht="15">
      <c r="B30" s="57">
        <f t="shared" si="2"/>
        <v>30</v>
      </c>
      <c r="C30" s="58">
        <f t="shared" si="6"/>
        <v>50</v>
      </c>
      <c r="D30" s="58">
        <f t="shared" si="5"/>
        <v>0.8726646259971648</v>
      </c>
      <c r="E30" s="58">
        <f t="shared" si="7"/>
        <v>1.77</v>
      </c>
      <c r="F30" s="58">
        <f t="shared" si="8"/>
        <v>92.4</v>
      </c>
      <c r="G30" s="58">
        <f t="shared" si="3"/>
        <v>110.1</v>
      </c>
      <c r="H30" s="58">
        <f>ROUND(F30+E30*'出力'!$T$39,2)</f>
        <v>110.1</v>
      </c>
      <c r="I30" s="58">
        <f>ROUND(F30+$C$2/2*(2*E30-(1/TAN('出力'!$T$132)-1/TAN(D30))*'出力'!$T$43)+(E30-(1/TAN('出力'!$T$132)-1/TAN(D30))*'出力'!$T$43)*'出力'!$T$39,2)</f>
        <v>145.5</v>
      </c>
      <c r="J30" s="58">
        <f>ROUND(F30+$C$2/2*SIN(D30)*SIN('出力'!$T$132)/SIN(D30-'出力'!$T$132)*E30^2,2)</f>
        <v>139.8</v>
      </c>
      <c r="K30" s="59">
        <f t="shared" si="4"/>
        <v>0.3182035046679453</v>
      </c>
      <c r="P30" s="5">
        <v>0</v>
      </c>
      <c r="Q30" s="6">
        <f>P12</f>
        <v>2.149</v>
      </c>
      <c r="R30" s="6">
        <v>0</v>
      </c>
      <c r="S30" s="6">
        <f>(Q31*R30-Q30*R31)/2</f>
        <v>-2.9871100000000004</v>
      </c>
      <c r="W30" s="5">
        <v>0</v>
      </c>
      <c r="X30" s="6">
        <f>W12</f>
        <v>1.454314329540788</v>
      </c>
      <c r="Y30" s="6">
        <v>0</v>
      </c>
      <c r="Z30" s="6">
        <f>(X31*Y30-X30*Y31)/2</f>
        <v>-1.0107484590308478</v>
      </c>
    </row>
    <row r="31" spans="2:26" ht="15">
      <c r="B31" s="57">
        <f t="shared" si="2"/>
        <v>29.37</v>
      </c>
      <c r="C31" s="58">
        <f t="shared" si="6"/>
        <v>51</v>
      </c>
      <c r="D31" s="58">
        <f t="shared" si="5"/>
        <v>0.890117918517108</v>
      </c>
      <c r="E31" s="58">
        <f t="shared" si="7"/>
        <v>1.62</v>
      </c>
      <c r="F31" s="58">
        <f t="shared" si="8"/>
        <v>84.41</v>
      </c>
      <c r="G31" s="58">
        <f t="shared" si="3"/>
        <v>100.61</v>
      </c>
      <c r="H31" s="58">
        <f>ROUND(F31+E31*'出力'!$T$39,2)</f>
        <v>100.61</v>
      </c>
      <c r="I31" s="58">
        <f>ROUND(F31+$C$2/2*(2*E31-(1/TAN('出力'!$T$132)-1/TAN(D31))*'出力'!$T$43)+(E31-(1/TAN('出力'!$T$132)-1/TAN(D31))*'出力'!$T$43)*'出力'!$T$39,2)</f>
        <v>133.01</v>
      </c>
      <c r="J31" s="58">
        <f>ROUND(F31+$C$2/2*SIN(D31)*SIN('出力'!$T$132)/SIN(D31-'出力'!$T$132)*E31^2,2)</f>
        <v>122.43</v>
      </c>
      <c r="K31" s="59">
        <f t="shared" si="4"/>
        <v>0.3356567971878886</v>
      </c>
      <c r="P31" s="5">
        <f>P30+1</f>
        <v>1</v>
      </c>
      <c r="Q31" s="6">
        <f>P11</f>
        <v>2.149</v>
      </c>
      <c r="R31" s="6">
        <f>Q11</f>
        <v>2.7800000000000002</v>
      </c>
      <c r="S31" s="6">
        <f>(Q32*R31-Q31*R32)/2</f>
        <v>-1.9809899999999994</v>
      </c>
      <c r="W31" s="5">
        <f>W30+1</f>
        <v>1</v>
      </c>
      <c r="X31" s="6">
        <f>W11</f>
        <v>1.454314329540788</v>
      </c>
      <c r="Y31" s="6">
        <f>X11</f>
        <v>1.3900000000000001</v>
      </c>
      <c r="Z31" s="6">
        <f>(X32*Y31-X31*Y32)/2</f>
        <v>-1.98202629582986</v>
      </c>
    </row>
    <row r="32" spans="2:26" ht="15">
      <c r="B32" s="57">
        <f t="shared" si="2"/>
        <v>28.46</v>
      </c>
      <c r="C32" s="58">
        <f t="shared" si="6"/>
        <v>52</v>
      </c>
      <c r="D32" s="58">
        <f t="shared" si="5"/>
        <v>0.9075712110370514</v>
      </c>
      <c r="E32" s="58">
        <f t="shared" si="7"/>
        <v>1.47</v>
      </c>
      <c r="F32" s="58">
        <f t="shared" si="8"/>
        <v>76.65</v>
      </c>
      <c r="G32" s="58">
        <f t="shared" si="3"/>
        <v>91.35</v>
      </c>
      <c r="H32" s="58">
        <f>ROUND(F32+E32*'出力'!$T$39,2)</f>
        <v>91.35</v>
      </c>
      <c r="I32" s="58">
        <f>ROUND(F32+$C$2/2*(2*E32-(1/TAN('出力'!$T$132)-1/TAN(D32))*'出力'!$T$43)+(E32-(1/TAN('出力'!$T$132)-1/TAN(D32))*'出力'!$T$43)*'出力'!$T$39,2)</f>
        <v>120.75</v>
      </c>
      <c r="J32" s="58">
        <f>ROUND(F32+$C$2/2*SIN(D32)*SIN('出力'!$T$132)/SIN(D32-'出力'!$T$132)*E32^2,2)</f>
        <v>106.72</v>
      </c>
      <c r="K32" s="59">
        <f t="shared" si="4"/>
        <v>0.3531100897078319</v>
      </c>
      <c r="P32" s="5">
        <f>P31+1</f>
        <v>2</v>
      </c>
      <c r="Q32" s="6">
        <f>P10</f>
        <v>4.759</v>
      </c>
      <c r="R32" s="6">
        <f>Q10</f>
        <v>8</v>
      </c>
      <c r="S32" s="6">
        <f>(Q33*R32-Q32*R33)/2</f>
        <v>0</v>
      </c>
      <c r="W32" s="5">
        <f>W31+1</f>
        <v>2</v>
      </c>
      <c r="X32" s="6">
        <f>W10</f>
        <v>4.064003688204955</v>
      </c>
      <c r="Y32" s="6">
        <f>X10</f>
        <v>6.609999999999999</v>
      </c>
      <c r="Z32" s="6">
        <f>(X33*Y32-X32*Y33)/2</f>
        <v>0</v>
      </c>
    </row>
    <row r="33" spans="2:26" ht="15">
      <c r="B33" s="57">
        <f t="shared" si="2"/>
        <v>27.28</v>
      </c>
      <c r="C33" s="58">
        <f t="shared" si="6"/>
        <v>53</v>
      </c>
      <c r="D33" s="58">
        <f t="shared" si="5"/>
        <v>0.9250245035569946</v>
      </c>
      <c r="E33" s="58">
        <f>ROUND(C$10*(TAN($C$6)+1/TAN(D33)),2)</f>
        <v>1.32</v>
      </c>
      <c r="F33" s="58">
        <f t="shared" si="8"/>
        <v>69.09</v>
      </c>
      <c r="G33" s="58">
        <f t="shared" si="3"/>
        <v>82.29</v>
      </c>
      <c r="H33" s="58">
        <f>ROUND(F33+E33*'出力'!$T$39,2)</f>
        <v>82.29</v>
      </c>
      <c r="I33" s="58">
        <f>ROUND(F33+$C$2/2*(2*E33-(1/TAN('出力'!$T$132)-1/TAN(D33))*'出力'!$T$43)+(E33-(1/TAN('出力'!$T$132)-1/TAN(D33))*'出力'!$T$43)*'出力'!$T$39,2)</f>
        <v>108.69</v>
      </c>
      <c r="J33" s="58">
        <f>ROUND(F33+$C$2/2*SIN(D33)*SIN('出力'!$T$132)/SIN(D33-'出力'!$T$132)*E33^2,2)</f>
        <v>92.43</v>
      </c>
      <c r="K33" s="59">
        <f t="shared" si="4"/>
        <v>0.37056338222777524</v>
      </c>
      <c r="P33" s="5">
        <f>P32+1</f>
        <v>3</v>
      </c>
      <c r="Q33" s="6">
        <f>P15</f>
        <v>4.759</v>
      </c>
      <c r="R33" s="6">
        <f>R15</f>
        <v>8</v>
      </c>
      <c r="S33" s="6">
        <f>(Q34*R33-Q33*R34)/2</f>
        <v>12.808</v>
      </c>
      <c r="W33" s="5">
        <f>W32+1</f>
        <v>3</v>
      </c>
      <c r="X33" s="6">
        <f>W15</f>
        <v>4.064003688204955</v>
      </c>
      <c r="Y33" s="6">
        <f>Y15</f>
        <v>6.609999999999999</v>
      </c>
      <c r="Z33" s="6">
        <f>(X34*Y33-X33*Y34)/2</f>
        <v>9.065559147994717</v>
      </c>
    </row>
    <row r="34" spans="2:26" ht="15">
      <c r="B34" s="57">
        <f t="shared" si="2"/>
        <v>25.86</v>
      </c>
      <c r="C34" s="58">
        <f aca="true" t="shared" si="9" ref="C34:C57">C33+1</f>
        <v>54</v>
      </c>
      <c r="D34" s="58">
        <f t="shared" si="5"/>
        <v>0.9424777960769379</v>
      </c>
      <c r="E34" s="58">
        <f aca="true" t="shared" si="10" ref="E34:E47">ROUND(C$10*(TAN($C$6)+1/TAN(D34)),2)</f>
        <v>1.18</v>
      </c>
      <c r="F34" s="58">
        <f aca="true" t="shared" si="11" ref="F34:F57">ROUND($C$2/2*((1/TAN(D34)+TAN($C$6))*$C$10^2),2)</f>
        <v>61.73</v>
      </c>
      <c r="G34" s="58">
        <f t="shared" si="3"/>
        <v>73.53</v>
      </c>
      <c r="H34" s="58">
        <f>ROUND(F34+E34*'出力'!$T$39,2)</f>
        <v>73.53</v>
      </c>
      <c r="I34" s="58">
        <f>ROUND(F34+$C$2/2*(2*E34-(1/TAN('出力'!$T$132)-1/TAN(D34))*'出力'!$T$43)+(E34-(1/TAN('出力'!$T$132)-1/TAN(D34))*'出力'!$T$43)*'出力'!$T$39,2)</f>
        <v>97.13</v>
      </c>
      <c r="J34" s="58">
        <f>ROUND(F34+$C$2/2*SIN(D34)*SIN('出力'!$T$132)/SIN(D34-'出力'!$T$132)*E34^2,2)</f>
        <v>79.73</v>
      </c>
      <c r="K34" s="59">
        <f t="shared" si="4"/>
        <v>0.38801667474771856</v>
      </c>
      <c r="P34" s="5">
        <f>P33+1</f>
        <v>4</v>
      </c>
      <c r="Q34" s="6">
        <f>P18</f>
        <v>7.961</v>
      </c>
      <c r="R34" s="6">
        <f>S18</f>
        <v>8</v>
      </c>
      <c r="S34" s="6">
        <f>(Q35*R34-Q34*R35)/2</f>
        <v>8.596</v>
      </c>
      <c r="W34" s="5">
        <f>W33+1</f>
        <v>4</v>
      </c>
      <c r="X34" s="6">
        <f>W18</f>
        <v>6.806986788959787</v>
      </c>
      <c r="Y34" s="6">
        <f>Z18</f>
        <v>6.609999999999999</v>
      </c>
      <c r="Z34" s="6">
        <f>(X35*Y34-X34*Y35)/2</f>
        <v>4.806508859132304</v>
      </c>
    </row>
    <row r="35" spans="2:26" ht="15">
      <c r="B35" s="57">
        <f t="shared" si="2"/>
        <v>24.21</v>
      </c>
      <c r="C35" s="58">
        <f t="shared" si="9"/>
        <v>55</v>
      </c>
      <c r="D35" s="58">
        <f t="shared" si="5"/>
        <v>0.9599310885968813</v>
      </c>
      <c r="E35" s="58">
        <f t="shared" si="10"/>
        <v>1.05</v>
      </c>
      <c r="F35" s="58">
        <f t="shared" si="11"/>
        <v>54.55</v>
      </c>
      <c r="G35" s="58">
        <f t="shared" si="3"/>
        <v>65.05</v>
      </c>
      <c r="H35" s="58">
        <f>ROUND(F35+E35*'出力'!$T$39,2)</f>
        <v>65.05</v>
      </c>
      <c r="I35" s="58">
        <f>ROUND(F35+$C$2/2*(2*E35-(1/TAN('出力'!$T$132)-1/TAN(D35))*'出力'!$T$43)+(E35-(1/TAN('出力'!$T$132)-1/TAN(D35))*'出力'!$T$43)*'出力'!$T$39,2)</f>
        <v>86.05</v>
      </c>
      <c r="J35" s="58">
        <f>ROUND(F35+$C$2/2*SIN(D35)*SIN('出力'!$T$132)/SIN(D35-'出力'!$T$132)*E35^2,2)</f>
        <v>68.33</v>
      </c>
      <c r="K35" s="59">
        <f t="shared" si="4"/>
        <v>0.4054699672676619</v>
      </c>
      <c r="P35" s="5">
        <f>P34+1</f>
        <v>5</v>
      </c>
      <c r="Q35" s="6">
        <f>Q30</f>
        <v>2.149</v>
      </c>
      <c r="R35" s="6">
        <f>R30</f>
        <v>0</v>
      </c>
      <c r="S35" s="6">
        <v>0</v>
      </c>
      <c r="W35" s="5">
        <f>W34+1</f>
        <v>5</v>
      </c>
      <c r="X35" s="6">
        <f>X30</f>
        <v>1.454314329540788</v>
      </c>
      <c r="Y35" s="6">
        <f>Y30</f>
        <v>0</v>
      </c>
      <c r="Z35" s="6">
        <v>0</v>
      </c>
    </row>
    <row r="36" spans="2:26" ht="13.5">
      <c r="B36" s="57">
        <f t="shared" si="2"/>
        <v>22.26</v>
      </c>
      <c r="C36" s="58">
        <f t="shared" si="9"/>
        <v>56</v>
      </c>
      <c r="D36" s="58">
        <f t="shared" si="5"/>
        <v>0.9773843811168246</v>
      </c>
      <c r="E36" s="58">
        <f t="shared" si="10"/>
        <v>0.91</v>
      </c>
      <c r="F36" s="58">
        <f t="shared" si="11"/>
        <v>47.55</v>
      </c>
      <c r="G36" s="58">
        <f t="shared" si="3"/>
        <v>56.65</v>
      </c>
      <c r="H36" s="58">
        <f>ROUND(F36+E36*'出力'!$T$39,2)</f>
        <v>56.65</v>
      </c>
      <c r="I36" s="58">
        <f>ROUND(F36+$C$2/2*(2*E36-(1/TAN('出力'!$T$132)-1/TAN(D36))*'出力'!$T$43)+(E36-(1/TAN('出力'!$T$132)-1/TAN(D36))*'出力'!$T$43)*'出力'!$T$39,2)</f>
        <v>74.85</v>
      </c>
      <c r="J36" s="58">
        <f>ROUND(F36+$C$2/2*SIN(D36)*SIN('出力'!$T$132)/SIN(D36-'出力'!$T$132)*E36^2,2)</f>
        <v>57.58</v>
      </c>
      <c r="K36" s="59">
        <f t="shared" si="4"/>
        <v>0.4229232597876052</v>
      </c>
      <c r="R36" t="s">
        <v>60</v>
      </c>
      <c r="S36" s="7">
        <f>SUM(S30:S35)</f>
        <v>16.4359</v>
      </c>
      <c r="Y36" t="s">
        <v>60</v>
      </c>
      <c r="Z36" s="7">
        <f>SUM(Z30:Z35)</f>
        <v>10.879293252266313</v>
      </c>
    </row>
    <row r="37" spans="2:26" ht="13.5">
      <c r="B37" s="57">
        <f t="shared" si="2"/>
        <v>20.09</v>
      </c>
      <c r="C37" s="58">
        <f t="shared" si="9"/>
        <v>57</v>
      </c>
      <c r="D37" s="58">
        <f t="shared" si="5"/>
        <v>0.9948376736367678</v>
      </c>
      <c r="E37" s="58">
        <f t="shared" si="10"/>
        <v>0.78</v>
      </c>
      <c r="F37" s="58">
        <f t="shared" si="11"/>
        <v>40.71</v>
      </c>
      <c r="G37" s="58">
        <f t="shared" si="3"/>
        <v>48.51</v>
      </c>
      <c r="H37" s="58">
        <f>ROUND(F37+E37*'出力'!$T$39,2)</f>
        <v>48.51</v>
      </c>
      <c r="I37" s="58">
        <f>ROUND(F37+$C$2/2*(2*E37-(1/TAN('出力'!$T$132)-1/TAN(D37))*'出力'!$T$43)+(E37-(1/TAN('出力'!$T$132)-1/TAN(D37))*'出力'!$T$43)*'出力'!$T$39,2)</f>
        <v>64.11</v>
      </c>
      <c r="J37" s="58">
        <f>ROUND(F37+$C$2/2*SIN(D37)*SIN('出力'!$T$132)/SIN(D37-'出力'!$T$132)*E37^2,2)</f>
        <v>47.86</v>
      </c>
      <c r="K37" s="59">
        <f t="shared" si="4"/>
        <v>0.4403765523075483</v>
      </c>
      <c r="R37" t="s">
        <v>59</v>
      </c>
      <c r="S37">
        <f>S36*$C2</f>
        <v>328.718</v>
      </c>
      <c r="Y37" t="s">
        <v>59</v>
      </c>
      <c r="Z37">
        <f>Z36*$C2</f>
        <v>217.58586504532627</v>
      </c>
    </row>
    <row r="38" spans="2:26" ht="13.5">
      <c r="B38" s="57">
        <f t="shared" si="2"/>
        <v>17.65</v>
      </c>
      <c r="C38" s="58">
        <f t="shared" si="9"/>
        <v>58</v>
      </c>
      <c r="D38" s="58">
        <f t="shared" si="5"/>
        <v>1.0122909661567112</v>
      </c>
      <c r="E38" s="58">
        <f t="shared" si="10"/>
        <v>0.65</v>
      </c>
      <c r="F38" s="58">
        <f t="shared" si="11"/>
        <v>34.02</v>
      </c>
      <c r="G38" s="58">
        <f t="shared" si="3"/>
        <v>40.52</v>
      </c>
      <c r="H38" s="58">
        <f>ROUND(F38+E38*'出力'!$T$39,2)</f>
        <v>40.52</v>
      </c>
      <c r="I38" s="58">
        <f>ROUND(F38+$C$2/2*(2*E38-(1/TAN('出力'!$T$132)-1/TAN(D38))*'出力'!$T$43)+(E38-(1/TAN('出力'!$T$132)-1/TAN(D38))*'出力'!$T$43)*'出力'!$T$39,2)</f>
        <v>53.52</v>
      </c>
      <c r="J38" s="58">
        <f>ROUND(F38+$C$2/2*SIN(D38)*SIN('出力'!$T$132)/SIN(D38-'出力'!$T$132)*E38^2,2)</f>
        <v>38.85</v>
      </c>
      <c r="K38" s="59">
        <f t="shared" si="4"/>
        <v>0.45782984482749184</v>
      </c>
      <c r="R38" t="s">
        <v>61</v>
      </c>
      <c r="S38">
        <f>MAX(0,P18-P15)</f>
        <v>3.202</v>
      </c>
      <c r="Y38" t="s">
        <v>61</v>
      </c>
      <c r="Z38">
        <f>MAX(0,W18-W15)</f>
        <v>2.7429831007548318</v>
      </c>
    </row>
    <row r="39" spans="2:27" ht="13.5">
      <c r="B39" s="57">
        <f t="shared" si="2"/>
        <v>14.99</v>
      </c>
      <c r="C39" s="58">
        <f t="shared" si="9"/>
        <v>59</v>
      </c>
      <c r="D39" s="58">
        <f t="shared" si="5"/>
        <v>1.0297442586766543</v>
      </c>
      <c r="E39" s="58">
        <f t="shared" si="10"/>
        <v>0.53</v>
      </c>
      <c r="F39" s="58">
        <f t="shared" si="11"/>
        <v>27.48</v>
      </c>
      <c r="G39" s="58">
        <f t="shared" si="3"/>
        <v>32.78</v>
      </c>
      <c r="H39" s="58">
        <f>ROUND(F39+E39*'出力'!$T$39,2)</f>
        <v>32.78</v>
      </c>
      <c r="I39" s="58">
        <f>ROUND(F39+$C$2/2*(2*E39-(1/TAN('出力'!$T$132)-1/TAN(D39))*'出力'!$T$43)+(E39-(1/TAN('出力'!$T$132)-1/TAN(D39))*'出力'!$T$43)*'出力'!$T$39,2)</f>
        <v>43.38</v>
      </c>
      <c r="J39" s="58">
        <f>ROUND(F39+$C$2/2*SIN(D39)*SIN('出力'!$T$132)/SIN(D39-'出力'!$T$132)*E39^2,2)</f>
        <v>30.6</v>
      </c>
      <c r="K39" s="59">
        <f t="shared" si="4"/>
        <v>0.47528313734743494</v>
      </c>
      <c r="R39" t="s">
        <v>62</v>
      </c>
      <c r="S39">
        <f>S38*'出力'!$T39+S37</f>
        <v>360.738</v>
      </c>
      <c r="T39">
        <f>G142</f>
        <v>360.76</v>
      </c>
      <c r="Y39" t="s">
        <v>62</v>
      </c>
      <c r="Z39">
        <f>Z38*'出力'!$T39+Z37</f>
        <v>245.0156960528746</v>
      </c>
      <c r="AA39">
        <f>G221</f>
        <v>244.99</v>
      </c>
    </row>
    <row r="40" spans="2:26" ht="13.5">
      <c r="B40" s="57">
        <f t="shared" si="2"/>
        <v>12.03</v>
      </c>
      <c r="C40" s="58">
        <f t="shared" si="9"/>
        <v>60</v>
      </c>
      <c r="D40" s="58">
        <f t="shared" si="5"/>
        <v>1.0471975511965976</v>
      </c>
      <c r="E40" s="58">
        <f t="shared" si="10"/>
        <v>0.4</v>
      </c>
      <c r="F40" s="58">
        <f t="shared" si="11"/>
        <v>21.08</v>
      </c>
      <c r="G40" s="58">
        <f t="shared" si="3"/>
        <v>25.08</v>
      </c>
      <c r="H40" s="58">
        <f>ROUND(F40+E40*'出力'!$T$39,2)</f>
        <v>25.08</v>
      </c>
      <c r="I40" s="58">
        <f>ROUND(F40+$C$2/2*(2*E40-(1/TAN('出力'!$T$132)-1/TAN(D40))*'出力'!$T$43)+(E40-(1/TAN('出力'!$T$132)-1/TAN(D40))*'出力'!$T$43)*'出力'!$T$39,2)</f>
        <v>33.08</v>
      </c>
      <c r="J40" s="58">
        <f>ROUND(F40+$C$2/2*SIN(D40)*SIN('出力'!$T$132)/SIN(D40-'出力'!$T$132)*E40^2,2)</f>
        <v>22.81</v>
      </c>
      <c r="K40" s="59">
        <f t="shared" si="4"/>
        <v>0.49273642986737826</v>
      </c>
      <c r="S40" s="7"/>
      <c r="Z40" s="7"/>
    </row>
    <row r="41" spans="2:26" ht="13.5">
      <c r="B41" s="57">
        <f t="shared" si="2"/>
        <v>8.84</v>
      </c>
      <c r="C41" s="58">
        <f t="shared" si="9"/>
        <v>61</v>
      </c>
      <c r="D41" s="58">
        <f t="shared" si="5"/>
        <v>1.064650843716541</v>
      </c>
      <c r="E41" s="58">
        <f t="shared" si="10"/>
        <v>0.28</v>
      </c>
      <c r="F41" s="58">
        <f t="shared" si="11"/>
        <v>14.8</v>
      </c>
      <c r="G41" s="58">
        <f t="shared" si="3"/>
        <v>17.6</v>
      </c>
      <c r="H41" s="58">
        <f>ROUND(F41+E41*'出力'!$T$39,2)</f>
        <v>17.6</v>
      </c>
      <c r="I41" s="58">
        <f>ROUND(F41+$C$2/2*(2*E41-(1/TAN('出力'!$T$132)-1/TAN(D41))*'出力'!$T$43)+(E41-(1/TAN('出力'!$T$132)-1/TAN(D41))*'出力'!$T$43)*'出力'!$T$39,2)</f>
        <v>23.2</v>
      </c>
      <c r="J41" s="58">
        <f>ROUND(F41+$C$2/2*SIN(D41)*SIN('出力'!$T$132)/SIN(D41-'出力'!$T$132)*E41^2,2)</f>
        <v>15.63</v>
      </c>
      <c r="K41" s="59">
        <f t="shared" si="4"/>
        <v>0.5101897223873215</v>
      </c>
      <c r="S41" s="7"/>
      <c r="Z41" s="7"/>
    </row>
    <row r="42" spans="2:26" ht="13.5">
      <c r="B42" s="57">
        <f t="shared" si="2"/>
        <v>5.43</v>
      </c>
      <c r="C42" s="58">
        <f t="shared" si="9"/>
        <v>62</v>
      </c>
      <c r="D42" s="58">
        <f t="shared" si="5"/>
        <v>1.0821041362364843</v>
      </c>
      <c r="E42" s="58">
        <f t="shared" si="10"/>
        <v>0.17</v>
      </c>
      <c r="F42" s="58">
        <f t="shared" si="11"/>
        <v>8.64</v>
      </c>
      <c r="G42" s="58">
        <f t="shared" si="3"/>
        <v>10.34</v>
      </c>
      <c r="H42" s="58">
        <f>ROUND(F42+E42*'出力'!$T$39,2)</f>
        <v>10.34</v>
      </c>
      <c r="I42" s="58">
        <f>ROUND(F42+$C$2/2*(2*E42-(1/TAN('出力'!$T$132)-1/TAN(D42))*'出力'!$T$43)+(E42-(1/TAN('出力'!$T$132)-1/TAN(D42))*'出力'!$T$43)*'出力'!$T$39,2)</f>
        <v>13.74</v>
      </c>
      <c r="J42" s="58">
        <f>ROUND(F42+$C$2/2*SIN(D42)*SIN('出力'!$T$132)/SIN(D42-'出力'!$T$132)*E42^2,2)</f>
        <v>8.94</v>
      </c>
      <c r="K42" s="59">
        <f t="shared" si="4"/>
        <v>0.5276430149072648</v>
      </c>
      <c r="S42" s="7"/>
      <c r="Z42" s="7"/>
    </row>
    <row r="43" spans="2:26" ht="13.5">
      <c r="B43" s="57">
        <f t="shared" si="2"/>
        <v>1.7</v>
      </c>
      <c r="C43" s="58">
        <f t="shared" si="9"/>
        <v>63</v>
      </c>
      <c r="D43" s="58">
        <f t="shared" si="5"/>
        <v>1.0995574287564276</v>
      </c>
      <c r="E43" s="58">
        <f t="shared" si="10"/>
        <v>0.05</v>
      </c>
      <c r="F43" s="58">
        <f t="shared" si="11"/>
        <v>2.6</v>
      </c>
      <c r="G43" s="58">
        <f t="shared" si="3"/>
        <v>3.1</v>
      </c>
      <c r="H43" s="58">
        <f>ROUND(F43+E43*'出力'!$T$39,2)</f>
        <v>3.1</v>
      </c>
      <c r="I43" s="58">
        <f>ROUND(F43+$C$2/2*(2*E43-(1/TAN('出力'!$T$132)-1/TAN(D43))*'出力'!$T$43)+(E43-(1/TAN('出力'!$T$132)-1/TAN(D43))*'出力'!$T$43)*'出力'!$T$39,2)</f>
        <v>4.1</v>
      </c>
      <c r="J43" s="58">
        <f>ROUND(F43+$C$2/2*SIN(D43)*SIN('出力'!$T$132)/SIN(D43-'出力'!$T$132)*E43^2,2)</f>
        <v>2.63</v>
      </c>
      <c r="K43" s="59">
        <f t="shared" si="4"/>
        <v>0.5450963074272082</v>
      </c>
      <c r="S43" s="7"/>
      <c r="Z43" s="7"/>
    </row>
    <row r="44" spans="2:26" ht="13.5">
      <c r="B44" s="57">
        <f t="shared" si="2"/>
        <v>-2.26</v>
      </c>
      <c r="C44" s="58">
        <f t="shared" si="9"/>
        <v>64</v>
      </c>
      <c r="D44" s="58">
        <f t="shared" si="5"/>
        <v>1.117010721276371</v>
      </c>
      <c r="E44" s="58">
        <f t="shared" si="10"/>
        <v>-0.06</v>
      </c>
      <c r="F44" s="58">
        <f t="shared" si="11"/>
        <v>-3.34</v>
      </c>
      <c r="G44" s="58">
        <f t="shared" si="3"/>
        <v>-3.94</v>
      </c>
      <c r="H44" s="58">
        <f>ROUND(F44+E44*'出力'!$T$39,2)</f>
        <v>-3.94</v>
      </c>
      <c r="I44" s="58">
        <f>ROUND(F44+$C$2/2*(2*E44-(1/TAN('出力'!$T$132)-1/TAN(D44))*'出力'!$T$43)+(E44-(1/TAN('出力'!$T$132)-1/TAN(D44))*'出力'!$T$43)*'出力'!$T$39,2)</f>
        <v>-5.14</v>
      </c>
      <c r="J44" s="58">
        <f>ROUND(F44+$C$2/2*SIN(D44)*SIN('出力'!$T$132)/SIN(D44-'出力'!$T$132)*E44^2,2)</f>
        <v>-3.3</v>
      </c>
      <c r="K44" s="59">
        <f t="shared" si="4"/>
        <v>0.5625495999471515</v>
      </c>
      <c r="S44" s="7"/>
      <c r="Z44" s="7"/>
    </row>
    <row r="45" spans="2:26" ht="13.5">
      <c r="B45" s="57">
        <f t="shared" si="2"/>
        <v>-6.56</v>
      </c>
      <c r="C45" s="58">
        <f t="shared" si="9"/>
        <v>65</v>
      </c>
      <c r="D45" s="58">
        <f t="shared" si="5"/>
        <v>1.1344640137963142</v>
      </c>
      <c r="E45" s="58">
        <f t="shared" si="10"/>
        <v>-0.18</v>
      </c>
      <c r="F45" s="58">
        <f t="shared" si="11"/>
        <v>-9.18</v>
      </c>
      <c r="G45" s="58">
        <f t="shared" si="3"/>
        <v>-10.98</v>
      </c>
      <c r="H45" s="58">
        <f>ROUND(F45+E45*'出力'!$T$39,2)</f>
        <v>-10.98</v>
      </c>
      <c r="I45" s="58">
        <f>ROUND(F45+$C$2/2*(2*E45-(1/TAN('出力'!$T$132)-1/TAN(D45))*'出力'!$T$43)+(E45-(1/TAN('出力'!$T$132)-1/TAN(D45))*'出力'!$T$43)*'出力'!$T$39,2)</f>
        <v>-14.58</v>
      </c>
      <c r="J45" s="58">
        <f>ROUND(F45+$C$2/2*SIN(D45)*SIN('出力'!$T$132)/SIN(D45-'出力'!$T$132)*E45^2,2)</f>
        <v>-8.87</v>
      </c>
      <c r="K45" s="59">
        <f t="shared" si="4"/>
        <v>0.5800028924670948</v>
      </c>
      <c r="S45" s="7"/>
      <c r="Z45" s="7"/>
    </row>
    <row r="46" spans="2:26" ht="13.5">
      <c r="B46" s="57">
        <f t="shared" si="2"/>
        <v>-11.1</v>
      </c>
      <c r="C46" s="58">
        <f t="shared" si="9"/>
        <v>66</v>
      </c>
      <c r="D46" s="58">
        <f t="shared" si="5"/>
        <v>1.1519173063162575</v>
      </c>
      <c r="E46" s="58">
        <f t="shared" si="10"/>
        <v>-0.29</v>
      </c>
      <c r="F46" s="58">
        <f t="shared" si="11"/>
        <v>-14.92</v>
      </c>
      <c r="G46" s="58">
        <f t="shared" si="3"/>
        <v>-17.82</v>
      </c>
      <c r="H46" s="58">
        <f>ROUND(F46+E46*'出力'!$T$39,2)</f>
        <v>-17.82</v>
      </c>
      <c r="I46" s="58">
        <f>ROUND(F46+$C$2/2*(2*E46-(1/TAN('出力'!$T$132)-1/TAN(D46))*'出力'!$T$43)+(E46-(1/TAN('出力'!$T$132)-1/TAN(D46))*'出力'!$T$43)*'出力'!$T$39,2)</f>
        <v>-23.62</v>
      </c>
      <c r="J46" s="58">
        <f>ROUND(F46+$C$2/2*SIN(D46)*SIN('出力'!$T$132)/SIN(D46-'出力'!$T$132)*E46^2,2)</f>
        <v>-14.12</v>
      </c>
      <c r="K46" s="59">
        <f t="shared" si="4"/>
        <v>0.5974561849870381</v>
      </c>
      <c r="S46" s="7"/>
      <c r="Z46" s="7"/>
    </row>
    <row r="47" spans="2:26" ht="13.5">
      <c r="B47" s="57">
        <f t="shared" si="2"/>
        <v>-15.88</v>
      </c>
      <c r="C47" s="58">
        <f t="shared" si="9"/>
        <v>67</v>
      </c>
      <c r="D47" s="58">
        <f t="shared" si="5"/>
        <v>1.1693705988362006</v>
      </c>
      <c r="E47" s="58">
        <f t="shared" si="10"/>
        <v>-0.39</v>
      </c>
      <c r="F47" s="58">
        <f t="shared" si="11"/>
        <v>-20.58</v>
      </c>
      <c r="G47" s="58">
        <f t="shared" si="3"/>
        <v>-24.48</v>
      </c>
      <c r="H47" s="58">
        <f>ROUND(F47+E47*'出力'!$T$39,2)</f>
        <v>-24.48</v>
      </c>
      <c r="I47" s="58">
        <f>ROUND(F47+$C$2/2*(2*E47-(1/TAN('出力'!$T$132)-1/TAN(D47))*'出力'!$T$43)+(E47-(1/TAN('出力'!$T$132)-1/TAN(D47))*'出力'!$T$43)*'出力'!$T$39,2)</f>
        <v>-32.28</v>
      </c>
      <c r="J47" s="58">
        <f>ROUND(F47+$C$2/2*SIN(D47)*SIN('出力'!$T$132)/SIN(D47-'出力'!$T$132)*E47^2,2)</f>
        <v>-19.17</v>
      </c>
      <c r="K47" s="59">
        <f t="shared" si="4"/>
        <v>0.6149094775069812</v>
      </c>
      <c r="S47" s="7"/>
      <c r="Z47" s="7"/>
    </row>
    <row r="48" spans="2:26" ht="13.5">
      <c r="B48" s="57">
        <f t="shared" si="2"/>
        <v>-21.03</v>
      </c>
      <c r="C48" s="58">
        <f t="shared" si="9"/>
        <v>68</v>
      </c>
      <c r="D48" s="58">
        <f t="shared" si="5"/>
        <v>1.1868238913561442</v>
      </c>
      <c r="E48" s="58">
        <f>ROUND(C$10*(TAN($C$6)+1/TAN(D48)),2)</f>
        <v>-0.5</v>
      </c>
      <c r="F48" s="58">
        <f t="shared" si="11"/>
        <v>-26.15</v>
      </c>
      <c r="G48" s="58">
        <f t="shared" si="3"/>
        <v>-31.15</v>
      </c>
      <c r="H48" s="58">
        <f>ROUND(F48+E48*'出力'!$T$39,2)</f>
        <v>-31.15</v>
      </c>
      <c r="I48" s="58">
        <f>ROUND(F48+$C$2/2*(2*E48-(1/TAN('出力'!$T$132)-1/TAN(D48))*'出力'!$T$43)+(E48-(1/TAN('出力'!$T$132)-1/TAN(D48))*'出力'!$T$43)*'出力'!$T$39,2)</f>
        <v>-41.15</v>
      </c>
      <c r="J48" s="58">
        <f>ROUND(F48+$C$2/2*SIN(D48)*SIN('出力'!$T$132)/SIN(D48-'出力'!$T$132)*E48^2,2)</f>
        <v>-23.87</v>
      </c>
      <c r="K48" s="59">
        <f t="shared" si="4"/>
        <v>0.6323627700269248</v>
      </c>
      <c r="S48" s="7"/>
      <c r="Z48" s="7"/>
    </row>
    <row r="49" spans="2:26" ht="13.5">
      <c r="B49" s="57">
        <f t="shared" si="2"/>
        <v>-26.51</v>
      </c>
      <c r="C49" s="58">
        <f t="shared" si="9"/>
        <v>69</v>
      </c>
      <c r="D49" s="58">
        <f t="shared" si="5"/>
        <v>1.2042771838760873</v>
      </c>
      <c r="E49" s="58">
        <f aca="true" t="shared" si="12" ref="E49:E56">ROUND(C$10*(TAN($C$6)+1/TAN(D49)),2)</f>
        <v>-0.61</v>
      </c>
      <c r="F49" s="58">
        <f t="shared" si="11"/>
        <v>-31.65</v>
      </c>
      <c r="G49" s="58">
        <f t="shared" si="3"/>
        <v>-37.75</v>
      </c>
      <c r="H49" s="58">
        <f>ROUND(F49+E49*'出力'!$T$39,2)</f>
        <v>-37.75</v>
      </c>
      <c r="I49" s="58">
        <f>ROUND(F49+$C$2/2*(2*E49-(1/TAN('出力'!$T$132)-1/TAN(D49))*'出力'!$T$43)+(E49-(1/TAN('出力'!$T$132)-1/TAN(D49))*'出力'!$T$43)*'出力'!$T$39,2)</f>
        <v>-49.95</v>
      </c>
      <c r="J49" s="58">
        <f>ROUND(F49+$C$2/2*SIN(D49)*SIN('出力'!$T$132)/SIN(D49-'出力'!$T$132)*E49^2,2)</f>
        <v>-28.32</v>
      </c>
      <c r="K49" s="59">
        <f t="shared" si="4"/>
        <v>0.6498160625468679</v>
      </c>
      <c r="S49" s="7"/>
      <c r="Z49" s="7"/>
    </row>
    <row r="50" spans="2:26" ht="13.5">
      <c r="B50" s="57">
        <f t="shared" si="2"/>
        <v>-32.25</v>
      </c>
      <c r="C50" s="58">
        <f t="shared" si="9"/>
        <v>70</v>
      </c>
      <c r="D50" s="58">
        <f t="shared" si="5"/>
        <v>1.2217304763960306</v>
      </c>
      <c r="E50" s="58">
        <f t="shared" si="12"/>
        <v>-0.71</v>
      </c>
      <c r="F50" s="58">
        <f t="shared" si="11"/>
        <v>-37.07</v>
      </c>
      <c r="G50" s="58">
        <f>IF($C$9=0,H50,IF(D50&lt;=$C$11,I50,J50))</f>
        <v>-44.17</v>
      </c>
      <c r="H50" s="58">
        <f>ROUND(F50+E50*'出力'!$T$39,2)</f>
        <v>-44.17</v>
      </c>
      <c r="I50" s="58">
        <f>ROUND(F50+$C$2/2*(2*E50-(1/TAN('出力'!$T$132)-1/TAN(D50))*'出力'!$T$43)+(E50-(1/TAN('出力'!$T$132)-1/TAN(D50))*'出力'!$T$43)*'出力'!$T$39,2)</f>
        <v>-58.37</v>
      </c>
      <c r="J50" s="58">
        <f>ROUND(F50+$C$2/2*SIN(D50)*SIN('出力'!$T$132)/SIN(D50-'出力'!$T$132)*E50^2,2)</f>
        <v>-32.63</v>
      </c>
      <c r="K50" s="59">
        <f t="shared" si="4"/>
        <v>0.6672693550668112</v>
      </c>
      <c r="S50" s="7"/>
      <c r="Z50" s="7"/>
    </row>
    <row r="51" spans="2:26" ht="13.5">
      <c r="B51" s="57">
        <f t="shared" si="2"/>
        <v>-38.34</v>
      </c>
      <c r="C51" s="58">
        <f t="shared" si="9"/>
        <v>71</v>
      </c>
      <c r="D51" s="58">
        <f t="shared" si="5"/>
        <v>1.239183768915974</v>
      </c>
      <c r="E51" s="58">
        <f t="shared" si="12"/>
        <v>-0.81</v>
      </c>
      <c r="F51" s="58">
        <f t="shared" si="11"/>
        <v>-42.42</v>
      </c>
      <c r="G51" s="58">
        <f t="shared" si="3"/>
        <v>-50.52</v>
      </c>
      <c r="H51" s="58">
        <f>ROUND(F51+E51*'出力'!$T$39,2)</f>
        <v>-50.52</v>
      </c>
      <c r="I51" s="58">
        <f>ROUND(F51+$C$2/2*(2*E51-(1/TAN('出力'!$T$132)-1/TAN(D51))*'出力'!$T$43)+(E51-(1/TAN('出力'!$T$132)-1/TAN(D51))*'出力'!$T$43)*'出力'!$T$39,2)</f>
        <v>-66.72</v>
      </c>
      <c r="J51" s="58">
        <f>ROUND(F51+$C$2/2*SIN(D51)*SIN('出力'!$T$132)/SIN(D51-'出力'!$T$132)*E51^2,2)</f>
        <v>-36.74</v>
      </c>
      <c r="K51" s="59">
        <f t="shared" si="4"/>
        <v>0.6847226475867545</v>
      </c>
      <c r="S51" s="7"/>
      <c r="Z51" s="7"/>
    </row>
    <row r="52" spans="2:26" ht="13.5">
      <c r="B52" s="57">
        <f t="shared" si="2"/>
        <v>-44.78</v>
      </c>
      <c r="C52" s="58">
        <f t="shared" si="9"/>
        <v>72</v>
      </c>
      <c r="D52" s="58">
        <f t="shared" si="5"/>
        <v>1.2566370614359172</v>
      </c>
      <c r="E52" s="58">
        <f t="shared" si="12"/>
        <v>-0.91</v>
      </c>
      <c r="F52" s="58">
        <f t="shared" si="11"/>
        <v>-47.71</v>
      </c>
      <c r="G52" s="58">
        <f t="shared" si="3"/>
        <v>-56.81</v>
      </c>
      <c r="H52" s="58">
        <f>ROUND(F52+E52*'出力'!$T$39,2)</f>
        <v>-56.81</v>
      </c>
      <c r="I52" s="58">
        <f>ROUND(F52+$C$2/2*(2*E52-(1/TAN('出力'!$T$132)-1/TAN(D52))*'出力'!$T$43)+(E52-(1/TAN('出力'!$T$132)-1/TAN(D52))*'出力'!$T$43)*'出力'!$T$39,2)</f>
        <v>-75.01</v>
      </c>
      <c r="J52" s="58">
        <f>ROUND(F52+$C$2/2*SIN(D52)*SIN('出力'!$T$132)/SIN(D52-'出力'!$T$132)*E52^2,2)</f>
        <v>-40.66</v>
      </c>
      <c r="K52" s="59">
        <f t="shared" si="4"/>
        <v>0.7021759401066978</v>
      </c>
      <c r="S52" s="7"/>
      <c r="Z52" s="7"/>
    </row>
    <row r="53" spans="2:26" ht="13.5">
      <c r="B53" s="57">
        <f t="shared" si="2"/>
        <v>-51.61</v>
      </c>
      <c r="C53" s="58">
        <f t="shared" si="9"/>
        <v>73</v>
      </c>
      <c r="D53" s="58">
        <f t="shared" si="5"/>
        <v>1.2740903539558606</v>
      </c>
      <c r="E53" s="58">
        <f t="shared" si="12"/>
        <v>-1.01</v>
      </c>
      <c r="F53" s="58">
        <f t="shared" si="11"/>
        <v>-52.94</v>
      </c>
      <c r="G53" s="58">
        <f t="shared" si="3"/>
        <v>-63.04</v>
      </c>
      <c r="H53" s="58">
        <f>ROUND(F53+E53*'出力'!$T$39,2)</f>
        <v>-63.04</v>
      </c>
      <c r="I53" s="58">
        <f>ROUND(F53+$C$2/2*(2*E53-(1/TAN('出力'!$T$132)-1/TAN(D53))*'出力'!$T$43)+(E53-(1/TAN('出力'!$T$132)-1/TAN(D53))*'出力'!$T$43)*'出力'!$T$39,2)</f>
        <v>-83.24</v>
      </c>
      <c r="J53" s="58">
        <f>ROUND(F53+$C$2/2*SIN(D53)*SIN('出力'!$T$132)/SIN(D53-'出力'!$T$132)*E53^2,2)</f>
        <v>-44.4</v>
      </c>
      <c r="K53" s="59">
        <f t="shared" si="4"/>
        <v>0.7196292326266411</v>
      </c>
      <c r="S53" s="7"/>
      <c r="Z53" s="7"/>
    </row>
    <row r="54" spans="2:26" ht="13.5">
      <c r="B54" s="57">
        <f t="shared" si="2"/>
        <v>-58.82</v>
      </c>
      <c r="C54" s="58">
        <f t="shared" si="9"/>
        <v>74</v>
      </c>
      <c r="D54" s="58">
        <f t="shared" si="5"/>
        <v>1.2915436464758039</v>
      </c>
      <c r="E54" s="58">
        <f t="shared" si="12"/>
        <v>-1.11</v>
      </c>
      <c r="F54" s="58">
        <f t="shared" si="11"/>
        <v>-58.11</v>
      </c>
      <c r="G54" s="58">
        <f t="shared" si="3"/>
        <v>-69.21</v>
      </c>
      <c r="H54" s="58">
        <f>ROUND(F54+E54*'出力'!$T$39,2)</f>
        <v>-69.21</v>
      </c>
      <c r="I54" s="58">
        <f>ROUND(F54+$C$2/2*(2*E54-(1/TAN('出力'!$T$132)-1/TAN(D54))*'出力'!$T$43)+(E54-(1/TAN('出力'!$T$132)-1/TAN(D54))*'出力'!$T$43)*'出力'!$T$39,2)</f>
        <v>-91.41</v>
      </c>
      <c r="J54" s="58">
        <f>ROUND(F54+$C$2/2*SIN(D54)*SIN('出力'!$T$132)/SIN(D54-'出力'!$T$132)*E54^2,2)</f>
        <v>-47.95</v>
      </c>
      <c r="K54" s="59">
        <f t="shared" si="4"/>
        <v>0.7370825251465845</v>
      </c>
      <c r="S54" s="7"/>
      <c r="Z54" s="7"/>
    </row>
    <row r="55" spans="2:26" ht="13.5">
      <c r="B55" s="57">
        <f t="shared" si="2"/>
        <v>-66.46</v>
      </c>
      <c r="C55" s="58">
        <f t="shared" si="9"/>
        <v>75</v>
      </c>
      <c r="D55" s="58">
        <f t="shared" si="5"/>
        <v>1.3089969389957472</v>
      </c>
      <c r="E55" s="58">
        <f t="shared" si="12"/>
        <v>-1.21</v>
      </c>
      <c r="F55" s="58">
        <f t="shared" si="11"/>
        <v>-63.23</v>
      </c>
      <c r="G55" s="58">
        <f t="shared" si="3"/>
        <v>-75.33</v>
      </c>
      <c r="H55" s="58">
        <f>ROUND(F55+E55*'出力'!$T$39,2)</f>
        <v>-75.33</v>
      </c>
      <c r="I55" s="58">
        <f>ROUND(F55+$C$2/2*(2*E55-(1/TAN('出力'!$T$132)-1/TAN(D55))*'出力'!$T$43)+(E55-(1/TAN('出力'!$T$132)-1/TAN(D55))*'出力'!$T$43)*'出力'!$T$39,2)</f>
        <v>-99.53</v>
      </c>
      <c r="J55" s="58">
        <f>ROUND(F55+$C$2/2*SIN(D55)*SIN('出力'!$T$132)/SIN(D55-'出力'!$T$132)*E55^2,2)</f>
        <v>-51.35</v>
      </c>
      <c r="K55" s="59">
        <f t="shared" si="4"/>
        <v>0.7545358176665278</v>
      </c>
      <c r="S55" s="7"/>
      <c r="Z55" s="7"/>
    </row>
    <row r="56" spans="2:26" ht="13.5">
      <c r="B56" s="57">
        <f t="shared" si="2"/>
        <v>-74.53</v>
      </c>
      <c r="C56" s="58">
        <f t="shared" si="9"/>
        <v>76</v>
      </c>
      <c r="D56" s="58">
        <f t="shared" si="5"/>
        <v>1.3264502315156903</v>
      </c>
      <c r="E56" s="58">
        <f t="shared" si="12"/>
        <v>-1.31</v>
      </c>
      <c r="F56" s="58">
        <f t="shared" si="11"/>
        <v>-68.3</v>
      </c>
      <c r="G56" s="58">
        <f t="shared" si="3"/>
        <v>-81.4</v>
      </c>
      <c r="H56" s="58">
        <f>ROUND(F56+E56*'出力'!$T$39,2)</f>
        <v>-81.4</v>
      </c>
      <c r="I56" s="58">
        <f>ROUND(F56+$C$2/2*(2*E56-(1/TAN('出力'!$T$132)-1/TAN(D56))*'出力'!$T$43)+(E56-(1/TAN('出力'!$T$132)-1/TAN(D56))*'出力'!$T$43)*'出力'!$T$39,2)</f>
        <v>-107.6</v>
      </c>
      <c r="J56" s="58">
        <f>ROUND(F56+$C$2/2*SIN(D56)*SIN('出力'!$T$132)/SIN(D56-'出力'!$T$132)*E56^2,2)</f>
        <v>-54.58</v>
      </c>
      <c r="K56" s="59">
        <f t="shared" si="4"/>
        <v>0.7719891101864709</v>
      </c>
      <c r="S56" s="7"/>
      <c r="Z56" s="7"/>
    </row>
    <row r="57" spans="2:26" ht="13.5">
      <c r="B57" s="57">
        <f t="shared" si="2"/>
        <v>-82.98</v>
      </c>
      <c r="C57" s="58">
        <f t="shared" si="9"/>
        <v>77</v>
      </c>
      <c r="D57" s="58">
        <f t="shared" si="5"/>
        <v>1.3439035240356338</v>
      </c>
      <c r="E57" s="58">
        <f>ROUND(C$10*(TAN($C$6)+1/TAN(D57)),2)</f>
        <v>-1.4</v>
      </c>
      <c r="F57" s="58">
        <f t="shared" si="11"/>
        <v>-73.33</v>
      </c>
      <c r="G57" s="58">
        <f t="shared" si="3"/>
        <v>-87.33</v>
      </c>
      <c r="H57" s="58">
        <f>ROUND(F57+E57*'出力'!$T$39,2)</f>
        <v>-87.33</v>
      </c>
      <c r="I57" s="58">
        <f>ROUND(F57+$C$2/2*(2*E57-(1/TAN('出力'!$T$132)-1/TAN(D57))*'出力'!$T$43)+(E57-(1/TAN('出力'!$T$132)-1/TAN(D57))*'出力'!$T$43)*'出力'!$T$39,2)</f>
        <v>-115.33</v>
      </c>
      <c r="J57" s="58">
        <f>ROUND(F57+$C$2/2*SIN(D57)*SIN('出力'!$T$132)/SIN(D57-'出力'!$T$132)*E57^2,2)</f>
        <v>-57.89</v>
      </c>
      <c r="K57" s="59">
        <f t="shared" si="4"/>
        <v>0.7894424027064144</v>
      </c>
      <c r="S57" s="7"/>
      <c r="Z57" s="7"/>
    </row>
    <row r="58" spans="1:26" ht="15">
      <c r="A58" t="s">
        <v>40</v>
      </c>
      <c r="B58" s="54">
        <f>MAX(B16:B57)</f>
        <v>30.46</v>
      </c>
      <c r="C58" s="63">
        <f>VLOOKUP($B$58,$B$16:$I$57,2,FALSE)</f>
        <v>48</v>
      </c>
      <c r="D58" s="63">
        <f>VLOOKUP($B$58,$B$16:$I$57,3,FALSE)</f>
        <v>0.8377580409572781</v>
      </c>
      <c r="E58" s="63">
        <f>VLOOKUP($B$58,$B$16:$I$57,4,FALSE)</f>
        <v>2.09</v>
      </c>
      <c r="F58" s="63">
        <f>VLOOKUP($B$58,$B$16:$I$57,5,FALSE)</f>
        <v>109.1</v>
      </c>
      <c r="G58" s="63">
        <f>VLOOKUP($B$58,$B$16:$I$57,6,FALSE)</f>
        <v>130</v>
      </c>
      <c r="H58" s="55"/>
      <c r="I58" s="55"/>
      <c r="J58" s="55"/>
      <c r="K58" s="56"/>
      <c r="S58" s="7"/>
      <c r="Z58" s="7"/>
    </row>
    <row r="59" spans="19:26" ht="13.5">
      <c r="S59" s="7"/>
      <c r="Z59" s="7"/>
    </row>
    <row r="60" spans="2:26" ht="13.5">
      <c r="B60" t="s">
        <v>156</v>
      </c>
      <c r="C60">
        <f>B58</f>
        <v>30.46</v>
      </c>
      <c r="D60" t="s">
        <v>45</v>
      </c>
      <c r="S60" s="7"/>
      <c r="Z60" s="7"/>
    </row>
    <row r="61" spans="2:26" ht="13.5">
      <c r="B61" t="s">
        <v>210</v>
      </c>
      <c r="C61">
        <f>2*C60/(C2*C10^2)</f>
        <v>0.11178638011773169</v>
      </c>
      <c r="S61" s="7"/>
      <c r="Z61" s="7"/>
    </row>
    <row r="62" spans="2:26" ht="13.5">
      <c r="B62" t="s">
        <v>211</v>
      </c>
      <c r="C62">
        <f>ROUND(C60*SIN(C6+C8),2)</f>
        <v>-1.72</v>
      </c>
      <c r="D62" t="s">
        <v>45</v>
      </c>
      <c r="S62" s="7"/>
      <c r="Z62" s="7"/>
    </row>
    <row r="63" spans="2:26" ht="13.5">
      <c r="B63" t="s">
        <v>212</v>
      </c>
      <c r="C63">
        <f>ROUND(C60*COS(C6+C8),2)</f>
        <v>30.41</v>
      </c>
      <c r="D63" t="s">
        <v>45</v>
      </c>
      <c r="S63" s="7"/>
      <c r="Z63" s="7"/>
    </row>
    <row r="64" spans="19:26" ht="13.5">
      <c r="S64" s="7"/>
      <c r="Z64" s="7"/>
    </row>
    <row r="65" spans="19:26" ht="13.5">
      <c r="S65" s="7"/>
      <c r="Z65" s="7"/>
    </row>
    <row r="66" spans="19:26" ht="13.5">
      <c r="S66" s="7"/>
      <c r="Z66" s="7"/>
    </row>
    <row r="67" spans="2:26" ht="13.5">
      <c r="B67" s="54" t="s">
        <v>223</v>
      </c>
      <c r="C67" s="55" t="s">
        <v>26</v>
      </c>
      <c r="D67" s="55" t="s">
        <v>27</v>
      </c>
      <c r="E67" s="55" t="s">
        <v>30</v>
      </c>
      <c r="F67" s="55" t="s">
        <v>31</v>
      </c>
      <c r="G67" s="55" t="s">
        <v>35</v>
      </c>
      <c r="H67" s="55" t="s">
        <v>32</v>
      </c>
      <c r="I67" s="55" t="s">
        <v>33</v>
      </c>
      <c r="J67" s="55" t="s">
        <v>34</v>
      </c>
      <c r="K67" s="56" t="s">
        <v>39</v>
      </c>
      <c r="S67" s="7"/>
      <c r="Z67" s="7"/>
    </row>
    <row r="68" spans="2:26" ht="13.5">
      <c r="B68" s="57">
        <f>ROUND((G68/COS($C$4)*SIN(D68-$E$3+$C$4))/COS(K68),2)</f>
        <v>27.84</v>
      </c>
      <c r="C68" s="58">
        <f>C58-4</f>
        <v>44</v>
      </c>
      <c r="D68" s="58">
        <f>C68*PI()/180</f>
        <v>0.767944870877505</v>
      </c>
      <c r="E68" s="58">
        <f>ROUND(C$10*(TAN($C$6)+1/TAN(D68)),2)</f>
        <v>2.8</v>
      </c>
      <c r="F68" s="58">
        <f>ROUND($C$2/2*((1/TAN(D68)+TAN($C$6))*$C$10^2),2)</f>
        <v>145.92</v>
      </c>
      <c r="G68" s="58">
        <f>IF($C$9=0,H68,IF(D68&lt;=$C$11,I68,J68))</f>
        <v>173.92</v>
      </c>
      <c r="H68" s="58">
        <f>ROUND(F68+E68*'出力'!$T$39,2)</f>
        <v>173.92</v>
      </c>
      <c r="I68" s="58">
        <f>ROUND(F68+$C$2/2*(2*E68-(1/TAN('出力'!$T$132)-1/TAN(D68))*'出力'!$T$43)+(E68-(1/TAN('出力'!$T$132)-1/TAN(D68))*'出力'!$T$43)*'出力'!$T$39,2)</f>
        <v>229.92</v>
      </c>
      <c r="J68" s="58">
        <f>ROUND(F68+$C$2/2*SIN(D68)*SIN('出力'!$T$132)/SIN(D68-'出力'!$T$132)*E68^2,2)</f>
        <v>314.71</v>
      </c>
      <c r="K68" s="59">
        <f>D68-$E$3-$C$6-$C$8</f>
        <v>0.21348374954828558</v>
      </c>
      <c r="S68" s="7"/>
      <c r="Z68" s="7"/>
    </row>
    <row r="69" spans="2:26" ht="13.5">
      <c r="B69" s="57">
        <f aca="true" t="shared" si="13" ref="B69:B76">ROUND((G69/COS($C$4)*SIN(D69-$E$3+$C$4))/COS(K69),2)</f>
        <v>28.96</v>
      </c>
      <c r="C69" s="58">
        <f>C68+1</f>
        <v>45</v>
      </c>
      <c r="D69" s="58">
        <f>C69*PI()/180</f>
        <v>0.7853981633974483</v>
      </c>
      <c r="E69" s="58">
        <f>ROUND(C$10*(TAN($C$6)+1/TAN(D69)),2)</f>
        <v>2.61</v>
      </c>
      <c r="F69" s="58">
        <f>ROUND($C$2/2*((1/TAN(D69)+TAN($C$6))*$C$10^2),2)</f>
        <v>136.24</v>
      </c>
      <c r="G69" s="58">
        <f>IF($C$9=0,H69,IF(D69&lt;=$C$11,I69,J69))</f>
        <v>162.34</v>
      </c>
      <c r="H69" s="58">
        <f>ROUND(F69+E69*'出力'!$T$39,2)</f>
        <v>162.34</v>
      </c>
      <c r="I69" s="58">
        <f>ROUND(F69+$C$2/2*(2*E69-(1/TAN('出力'!$T$132)-1/TAN(D69))*'出力'!$T$43)+(E69-(1/TAN('出力'!$T$132)-1/TAN(D69))*'出力'!$T$43)*'出力'!$T$39,2)</f>
        <v>214.54</v>
      </c>
      <c r="J69" s="58">
        <f>ROUND(F69+$C$2/2*SIN(D69)*SIN('出力'!$T$132)/SIN(D69-'出力'!$T$132)*E69^2,2)</f>
        <v>272.48</v>
      </c>
      <c r="K69" s="59">
        <f>D69-$E$3-$C$6-$C$8</f>
        <v>0.2309370420682289</v>
      </c>
      <c r="S69" s="7"/>
      <c r="Z69" s="7"/>
    </row>
    <row r="70" spans="2:26" ht="13.5">
      <c r="B70" s="57">
        <f t="shared" si="13"/>
        <v>29.76</v>
      </c>
      <c r="C70" s="58">
        <f aca="true" t="shared" si="14" ref="C70:C76">C69+1</f>
        <v>46</v>
      </c>
      <c r="D70" s="58">
        <f aca="true" t="shared" si="15" ref="D70:D76">C70*PI()/180</f>
        <v>0.8028514559173915</v>
      </c>
      <c r="E70" s="58">
        <f aca="true" t="shared" si="16" ref="E70:E76">ROUND(C$10*(TAN($C$6)+1/TAN(D70)),2)</f>
        <v>2.43</v>
      </c>
      <c r="F70" s="58">
        <f aca="true" t="shared" si="17" ref="F70:F76">ROUND($C$2/2*((1/TAN(D70)+TAN($C$6))*$C$10^2),2)</f>
        <v>126.89</v>
      </c>
      <c r="G70" s="58">
        <f aca="true" t="shared" si="18" ref="G70:G76">IF($C$9=0,H70,IF(D70&lt;=$C$11,I70,J70))</f>
        <v>151.19</v>
      </c>
      <c r="H70" s="58">
        <f>ROUND(F70+E70*'出力'!$T$39,2)</f>
        <v>151.19</v>
      </c>
      <c r="I70" s="58">
        <f>ROUND(F70+$C$2/2*(2*E70-(1/TAN('出力'!$T$132)-1/TAN(D70))*'出力'!$T$43)+(E70-(1/TAN('出力'!$T$132)-1/TAN(D70))*'出力'!$T$43)*'出力'!$T$39,2)</f>
        <v>199.79</v>
      </c>
      <c r="J70" s="58">
        <f>ROUND(F70+$C$2/2*SIN(D70)*SIN('出力'!$T$132)/SIN(D70-'出力'!$T$132)*E70^2,2)</f>
        <v>237.4</v>
      </c>
      <c r="K70" s="59">
        <f aca="true" t="shared" si="19" ref="K70:K76">D70-$E$3-$C$6-$C$8</f>
        <v>0.248390334588172</v>
      </c>
      <c r="S70" s="7"/>
      <c r="Z70" s="7"/>
    </row>
    <row r="71" spans="2:26" ht="13.5">
      <c r="B71" s="57">
        <f t="shared" si="13"/>
        <v>30.26</v>
      </c>
      <c r="C71" s="58">
        <f t="shared" si="14"/>
        <v>47</v>
      </c>
      <c r="D71" s="58">
        <f t="shared" si="15"/>
        <v>0.8203047484373349</v>
      </c>
      <c r="E71" s="58">
        <f t="shared" si="16"/>
        <v>2.26</v>
      </c>
      <c r="F71" s="58">
        <f t="shared" si="17"/>
        <v>117.85</v>
      </c>
      <c r="G71" s="58">
        <f t="shared" si="18"/>
        <v>140.45</v>
      </c>
      <c r="H71" s="58">
        <f>ROUND(F71+E71*'出力'!$T$39,2)</f>
        <v>140.45</v>
      </c>
      <c r="I71" s="58">
        <f>ROUND(F71+$C$2/2*(2*E71-(1/TAN('出力'!$T$132)-1/TAN(D71))*'出力'!$T$43)+(E71-(1/TAN('出力'!$T$132)-1/TAN(D71))*'出力'!$T$43)*'出力'!$T$39,2)</f>
        <v>185.65</v>
      </c>
      <c r="J71" s="58">
        <f>ROUND(F71+$C$2/2*SIN(D71)*SIN('出力'!$T$132)/SIN(D71-'出力'!$T$132)*E71^2,2)</f>
        <v>207.85</v>
      </c>
      <c r="K71" s="59">
        <f t="shared" si="19"/>
        <v>0.26584362710811554</v>
      </c>
      <c r="S71" s="7"/>
      <c r="Z71" s="7"/>
    </row>
    <row r="72" spans="2:26" ht="13.5">
      <c r="B72" s="57">
        <f t="shared" si="13"/>
        <v>30.46</v>
      </c>
      <c r="C72" s="58">
        <f t="shared" si="14"/>
        <v>48</v>
      </c>
      <c r="D72" s="58">
        <f t="shared" si="15"/>
        <v>0.8377580409572781</v>
      </c>
      <c r="E72" s="58">
        <f t="shared" si="16"/>
        <v>2.09</v>
      </c>
      <c r="F72" s="58">
        <f t="shared" si="17"/>
        <v>109.1</v>
      </c>
      <c r="G72" s="58">
        <f t="shared" si="18"/>
        <v>130</v>
      </c>
      <c r="H72" s="58">
        <f>ROUND(F72+E72*'出力'!$T$39,2)</f>
        <v>130</v>
      </c>
      <c r="I72" s="58">
        <f>ROUND(F72+$C$2/2*(2*E72-(1/TAN('出力'!$T$132)-1/TAN(D72))*'出力'!$T$43)+(E72-(1/TAN('出力'!$T$132)-1/TAN(D72))*'出力'!$T$43)*'出力'!$T$39,2)</f>
        <v>171.8</v>
      </c>
      <c r="J72" s="58">
        <f>ROUND(F72+$C$2/2*SIN(D72)*SIN('出力'!$T$132)/SIN(D72-'出力'!$T$132)*E72^2,2)</f>
        <v>181.95</v>
      </c>
      <c r="K72" s="59">
        <f t="shared" si="19"/>
        <v>0.28329691962805864</v>
      </c>
      <c r="S72" s="7"/>
      <c r="Z72" s="7"/>
    </row>
    <row r="73" spans="2:26" ht="13.5">
      <c r="B73" s="57">
        <f t="shared" si="13"/>
        <v>30.37</v>
      </c>
      <c r="C73" s="58">
        <f t="shared" si="14"/>
        <v>49</v>
      </c>
      <c r="D73" s="58">
        <f t="shared" si="15"/>
        <v>0.8552113334772214</v>
      </c>
      <c r="E73" s="58">
        <f t="shared" si="16"/>
        <v>1.93</v>
      </c>
      <c r="F73" s="58">
        <f t="shared" si="17"/>
        <v>100.62</v>
      </c>
      <c r="G73" s="58">
        <f t="shared" si="18"/>
        <v>119.92</v>
      </c>
      <c r="H73" s="58">
        <f>ROUND(F73+E73*'出力'!$T$39,2)</f>
        <v>119.92</v>
      </c>
      <c r="I73" s="58">
        <f>ROUND(F73+$C$2/2*(2*E73-(1/TAN('出力'!$T$132)-1/TAN(D73))*'出力'!$T$43)+(E73-(1/TAN('出力'!$T$132)-1/TAN(D73))*'出力'!$T$43)*'出力'!$T$39,2)</f>
        <v>158.52</v>
      </c>
      <c r="J73" s="58">
        <f>ROUND(F73+$C$2/2*SIN(D73)*SIN('出力'!$T$132)/SIN(D73-'出力'!$T$132)*E73^2,2)</f>
        <v>159.68</v>
      </c>
      <c r="K73" s="59">
        <f t="shared" si="19"/>
        <v>0.30075021214800196</v>
      </c>
      <c r="S73" s="7"/>
      <c r="Z73" s="7"/>
    </row>
    <row r="74" spans="2:26" ht="13.5">
      <c r="B74" s="57">
        <f t="shared" si="13"/>
        <v>30</v>
      </c>
      <c r="C74" s="58">
        <f t="shared" si="14"/>
        <v>50</v>
      </c>
      <c r="D74" s="58">
        <f t="shared" si="15"/>
        <v>0.8726646259971648</v>
      </c>
      <c r="E74" s="58">
        <f t="shared" si="16"/>
        <v>1.77</v>
      </c>
      <c r="F74" s="58">
        <f t="shared" si="17"/>
        <v>92.4</v>
      </c>
      <c r="G74" s="58">
        <f t="shared" si="18"/>
        <v>110.1</v>
      </c>
      <c r="H74" s="58">
        <f>ROUND(F74+E74*'出力'!$T$39,2)</f>
        <v>110.1</v>
      </c>
      <c r="I74" s="58">
        <f>ROUND(F74+$C$2/2*(2*E74-(1/TAN('出力'!$T$132)-1/TAN(D74))*'出力'!$T$43)+(E74-(1/TAN('出力'!$T$132)-1/TAN(D74))*'出力'!$T$43)*'出力'!$T$39,2)</f>
        <v>145.5</v>
      </c>
      <c r="J74" s="58">
        <f>ROUND(F74+$C$2/2*SIN(D74)*SIN('出力'!$T$132)/SIN(D74-'出力'!$T$132)*E74^2,2)</f>
        <v>139.8</v>
      </c>
      <c r="K74" s="59">
        <f t="shared" si="19"/>
        <v>0.3182035046679453</v>
      </c>
      <c r="S74" s="7"/>
      <c r="Z74" s="7"/>
    </row>
    <row r="75" spans="2:26" ht="13.5">
      <c r="B75" s="57">
        <f t="shared" si="13"/>
        <v>29.37</v>
      </c>
      <c r="C75" s="58">
        <f t="shared" si="14"/>
        <v>51</v>
      </c>
      <c r="D75" s="58">
        <f t="shared" si="15"/>
        <v>0.890117918517108</v>
      </c>
      <c r="E75" s="58">
        <f t="shared" si="16"/>
        <v>1.62</v>
      </c>
      <c r="F75" s="58">
        <f t="shared" si="17"/>
        <v>84.41</v>
      </c>
      <c r="G75" s="58">
        <f t="shared" si="18"/>
        <v>100.61</v>
      </c>
      <c r="H75" s="58">
        <f>ROUND(F75+E75*'出力'!$T$39,2)</f>
        <v>100.61</v>
      </c>
      <c r="I75" s="58">
        <f>ROUND(F75+$C$2/2*(2*E75-(1/TAN('出力'!$T$132)-1/TAN(D75))*'出力'!$T$43)+(E75-(1/TAN('出力'!$T$132)-1/TAN(D75))*'出力'!$T$43)*'出力'!$T$39,2)</f>
        <v>133.01</v>
      </c>
      <c r="J75" s="58">
        <f>ROUND(F75+$C$2/2*SIN(D75)*SIN('出力'!$T$132)/SIN(D75-'出力'!$T$132)*E75^2,2)</f>
        <v>122.43</v>
      </c>
      <c r="K75" s="59">
        <f t="shared" si="19"/>
        <v>0.3356567971878886</v>
      </c>
      <c r="S75" s="7"/>
      <c r="Z75" s="7"/>
    </row>
    <row r="76" spans="2:26" ht="13.5">
      <c r="B76" s="60">
        <f t="shared" si="13"/>
        <v>28.46</v>
      </c>
      <c r="C76" s="61">
        <f t="shared" si="14"/>
        <v>52</v>
      </c>
      <c r="D76" s="61">
        <f t="shared" si="15"/>
        <v>0.9075712110370514</v>
      </c>
      <c r="E76" s="61">
        <f t="shared" si="16"/>
        <v>1.47</v>
      </c>
      <c r="F76" s="61">
        <f t="shared" si="17"/>
        <v>76.65</v>
      </c>
      <c r="G76" s="61">
        <f t="shared" si="18"/>
        <v>91.35</v>
      </c>
      <c r="H76" s="61">
        <f>ROUND(F76+E76*'出力'!$T$39,2)</f>
        <v>91.35</v>
      </c>
      <c r="I76" s="61">
        <f>ROUND(F76+$C$2/2*(2*E76-(1/TAN('出力'!$T$132)-1/TAN(D76))*'出力'!$T$43)+(E76-(1/TAN('出力'!$T$132)-1/TAN(D76))*'出力'!$T$43)*'出力'!$T$39,2)</f>
        <v>120.75</v>
      </c>
      <c r="J76" s="61">
        <f>ROUND(F76+$C$2/2*SIN(D76)*SIN('出力'!$T$132)/SIN(D76-'出力'!$T$132)*E76^2,2)</f>
        <v>106.72</v>
      </c>
      <c r="K76" s="62">
        <f t="shared" si="19"/>
        <v>0.3531100897078319</v>
      </c>
      <c r="S76" s="7"/>
      <c r="Z76" s="7"/>
    </row>
    <row r="77" spans="19:26" ht="13.5">
      <c r="S77" s="7"/>
      <c r="Z77" s="7"/>
    </row>
    <row r="78" spans="19:26" ht="13.5">
      <c r="S78" s="7"/>
      <c r="Z78" s="7"/>
    </row>
    <row r="79" spans="19:26" ht="13.5">
      <c r="S79" s="7"/>
      <c r="Z79" s="7"/>
    </row>
    <row r="80" spans="2:26" ht="13.5">
      <c r="B80" t="s">
        <v>25</v>
      </c>
      <c r="C80">
        <f>ATAN(('出力'!T$43+'出力'!T$18+'出力'!T$23)/(-'出力'!T$139*'出力'!T$26-'出力'!T$138*'出力'!V$20+'出力'!T$43*'出力'!V$44))</f>
        <v>1.2554342612095652</v>
      </c>
      <c r="D80" t="s">
        <v>7</v>
      </c>
      <c r="E80">
        <f>C80*180/PI()</f>
        <v>71.93108462343265</v>
      </c>
      <c r="F80" t="s">
        <v>8</v>
      </c>
      <c r="S80" s="7"/>
      <c r="Z80" s="7"/>
    </row>
    <row r="81" spans="19:26" ht="13.5">
      <c r="S81" s="7"/>
      <c r="Z81" s="7"/>
    </row>
    <row r="82" spans="2:26" ht="13.5">
      <c r="B82" t="s">
        <v>19</v>
      </c>
      <c r="C82">
        <f>C3*2/3</f>
        <v>23.333333333333332</v>
      </c>
      <c r="D82" t="s">
        <v>8</v>
      </c>
      <c r="E82">
        <f>C82*PI()/180</f>
        <v>0.4072434921320102</v>
      </c>
      <c r="F82" t="s">
        <v>7</v>
      </c>
      <c r="S82" s="7"/>
      <c r="Z82" s="7"/>
    </row>
    <row r="83" spans="2:26" ht="13.5">
      <c r="B83" t="s">
        <v>20</v>
      </c>
      <c r="C83">
        <f>'入力'!D17</f>
        <v>23.3</v>
      </c>
      <c r="D83" t="s">
        <v>8</v>
      </c>
      <c r="E83">
        <f>C83*PI()/180</f>
        <v>0.4066617157146788</v>
      </c>
      <c r="F83" t="s">
        <v>7</v>
      </c>
      <c r="S83" s="7"/>
      <c r="Z83" s="7"/>
    </row>
    <row r="84" spans="19:26" ht="13.5">
      <c r="S84" s="7"/>
      <c r="Z84" s="7"/>
    </row>
    <row r="85" spans="2:26" ht="13.5">
      <c r="B85" t="s">
        <v>36</v>
      </c>
      <c r="C85" t="s">
        <v>26</v>
      </c>
      <c r="D85" t="s">
        <v>27</v>
      </c>
      <c r="E85" t="s">
        <v>30</v>
      </c>
      <c r="F85" t="s">
        <v>31</v>
      </c>
      <c r="G85" t="s">
        <v>35</v>
      </c>
      <c r="H85" t="s">
        <v>32</v>
      </c>
      <c r="I85" t="s">
        <v>33</v>
      </c>
      <c r="J85" t="s">
        <v>34</v>
      </c>
      <c r="K85" t="s">
        <v>38</v>
      </c>
      <c r="L85" t="s">
        <v>39</v>
      </c>
      <c r="S85" s="7"/>
      <c r="Z85" s="7"/>
    </row>
    <row r="86" spans="2:26" ht="13.5">
      <c r="B86">
        <f>ROUND((G86/COS($C$4)*SIN(D86-$E$3-$C$4)-$C$60*COS(K86))/COS(L86),2)</f>
        <v>-33.11</v>
      </c>
      <c r="C86">
        <f>C3</f>
        <v>35</v>
      </c>
      <c r="D86">
        <f>C86*PI()/180</f>
        <v>0.6108652381980153</v>
      </c>
      <c r="E86">
        <f>ROUND('出力'!$T$139*TAN('出力'!$T$131)+('出力'!$T$138+'出力'!$T$139)/TAN(D86)+'出力'!$T$138*TAN('出力'!$T$130),2)</f>
        <v>8.82</v>
      </c>
      <c r="F86">
        <f>ROUND($C$2/2*((1/TAN(D86)+TAN('出力'!$T$131))*('出力'!$T$138+'出力'!$T$139)^2+(TAN('出力'!$T$130)-TAN('出力'!$T$131))*'出力'!$T$138^2),2)</f>
        <v>777.79</v>
      </c>
      <c r="G86">
        <f>IF('出力'!$T$43=0,H86,IF(D86&lt;=$C$80,I86,J86))</f>
        <v>865.99</v>
      </c>
      <c r="H86">
        <f>ROUND(F86+E86*'出力'!$T$39,2)</f>
        <v>865.99</v>
      </c>
      <c r="I86">
        <f>ROUND(F86+$C$2/2*(2*E86-(1/TAN('出力'!$T$132)-1/TAN(D86))*'出力'!$T$43)+(E86-(1/TAN('出力'!$T$132)-1/TAN(D86))*'出力'!$T$43)*'出力'!$T$39,2)</f>
        <v>1042.39</v>
      </c>
      <c r="J86">
        <f>ROUND(F86+$C$2/2*SIN(D86)*SIN('出力'!$T$132)/SIN(D86-'出力'!$T$132)*E86^2,2)</f>
        <v>11603.27</v>
      </c>
      <c r="K86">
        <f>D86-$E$3-'出力'!$T$130-$E$82</f>
        <v>0.05635650786798979</v>
      </c>
      <c r="L86">
        <f>D86-$E$3-'出力'!$T$131-$E$83</f>
        <v>-0.4066617157146788</v>
      </c>
      <c r="S86" s="7"/>
      <c r="Z86" s="7"/>
    </row>
    <row r="87" spans="2:26" ht="13.5">
      <c r="B87">
        <f aca="true" t="shared" si="20" ref="B87:B141">ROUND((G87/COS($C$4)*SIN(D87-$E$3-$C$4)-$C$60*COS(K87))/COS(L87),2)</f>
        <v>-17.2</v>
      </c>
      <c r="C87">
        <f>C86+1</f>
        <v>36</v>
      </c>
      <c r="D87">
        <f>C87*PI()/180</f>
        <v>0.6283185307179586</v>
      </c>
      <c r="E87">
        <f>ROUND('出力'!$T$139*TAN('出力'!$T$131)+('出力'!$T$138+'出力'!$T$139)/TAN(D87)+'出力'!$T$138*TAN('出力'!$T$130),2)</f>
        <v>8.4</v>
      </c>
      <c r="F87">
        <f>ROUND($C$2/2*((1/TAN(D87)+TAN('出力'!$T$131))*('出力'!$T$138+'出力'!$T$139)^2+(TAN('出力'!$T$130)-TAN('出力'!$T$131))*'出力'!$T$138^2),2)</f>
        <v>744.66</v>
      </c>
      <c r="G87">
        <f>IF('出力'!$T$43=0,H87,IF(D87&lt;=$C$80,I87,J87))</f>
        <v>828.66</v>
      </c>
      <c r="H87">
        <f>ROUND(F87+E87*'出力'!$T$39,2)</f>
        <v>828.66</v>
      </c>
      <c r="I87">
        <f>ROUND(F87+$C$2/2*(2*E87-(1/TAN('出力'!$T$132)-1/TAN(D87))*'出力'!$T$43)+(E87-(1/TAN('出力'!$T$132)-1/TAN(D87))*'出力'!$T$43)*'出力'!$T$39,2)</f>
        <v>996.66</v>
      </c>
      <c r="J87">
        <f>ROUND(F87+$C$2/2*SIN(D87)*SIN('出力'!$T$132)/SIN(D87-'出力'!$T$132)*E87^2,2)</f>
        <v>6452.17</v>
      </c>
      <c r="K87">
        <f>D87-$E$3-'出力'!$T$130-$E$82</f>
        <v>0.07380980038793311</v>
      </c>
      <c r="L87">
        <f>D87-$E$3-'出力'!$T$131-$E$83</f>
        <v>-0.3892084231947355</v>
      </c>
      <c r="S87" s="7"/>
      <c r="Z87" s="7"/>
    </row>
    <row r="88" spans="2:26" ht="13.5">
      <c r="B88">
        <f t="shared" si="20"/>
        <v>-2.85</v>
      </c>
      <c r="C88">
        <f aca="true" t="shared" si="21" ref="C88:C100">C87+1</f>
        <v>37</v>
      </c>
      <c r="D88">
        <f aca="true" t="shared" si="22" ref="D88:D126">C88*PI()/180</f>
        <v>0.6457718232379019</v>
      </c>
      <c r="E88">
        <f>ROUND('出力'!$T$139*TAN('出力'!$T$131)+('出力'!$T$138+'出力'!$T$139)/TAN(D88)+'出力'!$T$138*TAN('出力'!$T$130),2)</f>
        <v>8.01</v>
      </c>
      <c r="F88">
        <f>ROUND($C$2/2*((1/TAN(D88)+TAN('出力'!$T$131))*('出力'!$T$138+'出力'!$T$139)^2+(TAN('出力'!$T$130)-TAN('出力'!$T$131))*'出力'!$T$138^2),2)</f>
        <v>713.08</v>
      </c>
      <c r="G88">
        <f>IF('出力'!$T$43=0,H88,IF(D88&lt;=$C$80,I88,J88))</f>
        <v>793.18</v>
      </c>
      <c r="H88">
        <f>ROUND(F88+E88*'出力'!$T$39,2)</f>
        <v>793.18</v>
      </c>
      <c r="I88">
        <f>ROUND(F88+$C$2/2*(2*E88-(1/TAN('出力'!$T$132)-1/TAN(D88))*'出力'!$T$43)+(E88-(1/TAN('出力'!$T$132)-1/TAN(D88))*'出力'!$T$43)*'出力'!$T$39,2)</f>
        <v>953.38</v>
      </c>
      <c r="J88">
        <f>ROUND(F88+$C$2/2*SIN(D88)*SIN('出力'!$T$132)/SIN(D88-'出力'!$T$132)*E88^2,2)</f>
        <v>4422.54</v>
      </c>
      <c r="K88">
        <f>D88-$E$3-'出力'!$T$130-$E$82</f>
        <v>0.09126309290787643</v>
      </c>
      <c r="L88">
        <f>D88-$E$3-'出力'!$T$131-$E$83</f>
        <v>-0.37175513067479216</v>
      </c>
      <c r="S88" s="7"/>
      <c r="Z88" s="7"/>
    </row>
    <row r="89" spans="2:26" ht="13.5">
      <c r="B89">
        <f t="shared" si="20"/>
        <v>10.08</v>
      </c>
      <c r="C89">
        <f t="shared" si="21"/>
        <v>38</v>
      </c>
      <c r="D89">
        <f t="shared" si="22"/>
        <v>0.6632251157578452</v>
      </c>
      <c r="E89">
        <f>ROUND('出力'!$T$139*TAN('出力'!$T$131)+('出力'!$T$138+'出力'!$T$139)/TAN(D89)+'出力'!$T$138*TAN('出力'!$T$130),2)</f>
        <v>7.63</v>
      </c>
      <c r="F89">
        <f>ROUND($C$2/2*((1/TAN(D89)+TAN('出力'!$T$131))*('出力'!$T$138+'出力'!$T$139)^2+(TAN('出力'!$T$130)-TAN('出力'!$T$131))*'出力'!$T$138^2),2)</f>
        <v>682.94</v>
      </c>
      <c r="G89">
        <f>IF('出力'!$T$43=0,H89,IF(D89&lt;=$C$80,I89,J89))</f>
        <v>759.24</v>
      </c>
      <c r="H89">
        <f>ROUND(F89+E89*'出力'!$T$39,2)</f>
        <v>759.24</v>
      </c>
      <c r="I89">
        <f>ROUND(F89+$C$2/2*(2*E89-(1/TAN('出力'!$T$132)-1/TAN(D89))*'出力'!$T$43)+(E89-(1/TAN('出力'!$T$132)-1/TAN(D89))*'出力'!$T$43)*'出力'!$T$39,2)</f>
        <v>911.84</v>
      </c>
      <c r="J89">
        <f>ROUND(F89+$C$2/2*SIN(D89)*SIN('出力'!$T$132)/SIN(D89-'出力'!$T$132)*E89^2,2)</f>
        <v>3328.36</v>
      </c>
      <c r="K89">
        <f>D89-$E$3-'出力'!$T$130-$E$82</f>
        <v>0.10871638542781964</v>
      </c>
      <c r="L89">
        <f>D89-$E$3-'出力'!$T$131-$E$83</f>
        <v>-0.35430183815484895</v>
      </c>
      <c r="S89" s="7"/>
      <c r="Z89" s="7"/>
    </row>
    <row r="90" spans="2:26" ht="13.5">
      <c r="B90">
        <f t="shared" si="20"/>
        <v>21.7</v>
      </c>
      <c r="C90">
        <f t="shared" si="21"/>
        <v>39</v>
      </c>
      <c r="D90">
        <f t="shared" si="22"/>
        <v>0.6806784082777885</v>
      </c>
      <c r="E90">
        <f>ROUND('出力'!$T$139*TAN('出力'!$T$131)+('出力'!$T$138+'出力'!$T$139)/TAN(D90)+'出力'!$T$138*TAN('出力'!$T$130),2)</f>
        <v>7.27</v>
      </c>
      <c r="F90">
        <f>ROUND($C$2/2*((1/TAN(D90)+TAN('出力'!$T$131))*('出力'!$T$138+'出力'!$T$139)^2+(TAN('出力'!$T$130)-TAN('出力'!$T$131))*'出力'!$T$138^2),2)</f>
        <v>654.11</v>
      </c>
      <c r="G90">
        <f>IF('出力'!$T$43=0,H90,IF(D90&lt;=$C$80,I90,J90))</f>
        <v>726.81</v>
      </c>
      <c r="H90">
        <f>ROUND(F90+E90*'出力'!$T$39,2)</f>
        <v>726.81</v>
      </c>
      <c r="I90">
        <f>ROUND(F90+$C$2/2*(2*E90-(1/TAN('出力'!$T$132)-1/TAN(D90))*'出力'!$T$43)+(E90-(1/TAN('出力'!$T$132)-1/TAN(D90))*'出力'!$T$43)*'出力'!$T$39,2)</f>
        <v>872.21</v>
      </c>
      <c r="J90">
        <f>ROUND(F90+$C$2/2*SIN(D90)*SIN('出力'!$T$132)/SIN(D90-'出力'!$T$132)*E90^2,2)</f>
        <v>2647.72</v>
      </c>
      <c r="K90">
        <f>D90-$E$3-'出力'!$T$130-$E$82</f>
        <v>0.12616967794776296</v>
      </c>
      <c r="L90">
        <f>D90-$E$3-'出力'!$T$131-$E$83</f>
        <v>-0.3368485456349056</v>
      </c>
      <c r="S90" s="7"/>
      <c r="Z90" s="7"/>
    </row>
    <row r="91" spans="2:26" ht="13.5">
      <c r="B91">
        <f t="shared" si="20"/>
        <v>32.11</v>
      </c>
      <c r="C91">
        <f t="shared" si="21"/>
        <v>40</v>
      </c>
      <c r="D91">
        <f t="shared" si="22"/>
        <v>0.6981317007977318</v>
      </c>
      <c r="E91">
        <f>ROUND('出力'!$T$139*TAN('出力'!$T$131)+('出力'!$T$138+'出力'!$T$139)/TAN(D91)+'出力'!$T$138*TAN('出力'!$T$130),2)</f>
        <v>6.92</v>
      </c>
      <c r="F91">
        <f>ROUND($C$2/2*((1/TAN(D91)+TAN('出力'!$T$131))*('出力'!$T$138+'出力'!$T$139)^2+(TAN('出力'!$T$130)-TAN('出力'!$T$131))*'出力'!$T$138^2),2)</f>
        <v>626.5</v>
      </c>
      <c r="G91">
        <f>IF('出力'!$T$43=0,H91,IF(D91&lt;=$C$80,I91,J91))</f>
        <v>695.7</v>
      </c>
      <c r="H91">
        <f>ROUND(F91+E91*'出力'!$T$39,2)</f>
        <v>695.7</v>
      </c>
      <c r="I91">
        <f>ROUND(F91+$C$2/2*(2*E91-(1/TAN('出力'!$T$132)-1/TAN(D91))*'出力'!$T$43)+(E91-(1/TAN('出力'!$T$132)-1/TAN(D91))*'出力'!$T$43)*'出力'!$T$39,2)</f>
        <v>834.1</v>
      </c>
      <c r="J91">
        <f>ROUND(F91+$C$2/2*SIN(D91)*SIN('出力'!$T$132)/SIN(D91-'出力'!$T$132)*E91^2,2)</f>
        <v>2179.97</v>
      </c>
      <c r="K91">
        <f>D91-$E$3-'出力'!$T$130-$E$82</f>
        <v>0.14362297046770628</v>
      </c>
      <c r="L91">
        <f>D91-$E$3-'出力'!$T$131-$E$83</f>
        <v>-0.3193952531149623</v>
      </c>
      <c r="S91" s="7"/>
      <c r="Z91" s="7"/>
    </row>
    <row r="92" spans="2:26" ht="13.5">
      <c r="B92">
        <f t="shared" si="20"/>
        <v>41.41</v>
      </c>
      <c r="C92">
        <f t="shared" si="21"/>
        <v>41</v>
      </c>
      <c r="D92">
        <f t="shared" si="22"/>
        <v>0.715584993317675</v>
      </c>
      <c r="E92">
        <f>ROUND('出力'!$T$139*TAN('出力'!$T$131)+('出力'!$T$138+'出力'!$T$139)/TAN(D92)+'出力'!$T$138*TAN('出力'!$T$130),2)</f>
        <v>6.59</v>
      </c>
      <c r="F92">
        <f>ROUND($C$2/2*((1/TAN(D92)+TAN('出力'!$T$131))*('出力'!$T$138+'出力'!$T$139)^2+(TAN('出力'!$T$130)-TAN('出力'!$T$131))*'出力'!$T$138^2),2)</f>
        <v>600.01</v>
      </c>
      <c r="G92">
        <f>IF('出力'!$T$43=0,H92,IF(D92&lt;=$C$80,I92,J92))</f>
        <v>665.91</v>
      </c>
      <c r="H92">
        <f>ROUND(F92+E92*'出力'!$T$39,2)</f>
        <v>665.91</v>
      </c>
      <c r="I92">
        <f>ROUND(F92+$C$2/2*(2*E92-(1/TAN('出力'!$T$132)-1/TAN(D92))*'出力'!$T$43)+(E92-(1/TAN('出力'!$T$132)-1/TAN(D92))*'出力'!$T$43)*'出力'!$T$39,2)</f>
        <v>797.71</v>
      </c>
      <c r="J92">
        <f>ROUND(F92+$C$2/2*SIN(D92)*SIN('出力'!$T$132)/SIN(D92-'出力'!$T$132)*E92^2,2)</f>
        <v>1842.09</v>
      </c>
      <c r="K92">
        <f>D92-$E$3-'出力'!$T$130-$E$82</f>
        <v>0.1610762629876495</v>
      </c>
      <c r="L92">
        <f>D92-$E$3-'出力'!$T$131-$E$83</f>
        <v>-0.3019419605950191</v>
      </c>
      <c r="S92" s="7"/>
      <c r="Z92" s="7"/>
    </row>
    <row r="93" spans="2:26" ht="13.5">
      <c r="B93">
        <f t="shared" si="20"/>
        <v>49.7</v>
      </c>
      <c r="C93">
        <f t="shared" si="21"/>
        <v>42</v>
      </c>
      <c r="D93">
        <f t="shared" si="22"/>
        <v>0.7330382858376184</v>
      </c>
      <c r="E93">
        <f>ROUND('出力'!$T$139*TAN('出力'!$T$131)+('出力'!$T$138+'出力'!$T$139)/TAN(D93)+'出力'!$T$138*TAN('出力'!$T$130),2)</f>
        <v>6.28</v>
      </c>
      <c r="F93">
        <f>ROUND($C$2/2*((1/TAN(D93)+TAN('出力'!$T$131))*('出力'!$T$138+'出力'!$T$139)^2+(TAN('出力'!$T$130)-TAN('出力'!$T$131))*'出力'!$T$138^2),2)</f>
        <v>574.57</v>
      </c>
      <c r="G93">
        <f>IF('出力'!$T$43=0,H93,IF(D93&lt;=$C$80,I93,J93))</f>
        <v>637.37</v>
      </c>
      <c r="H93">
        <f>ROUND(F93+E93*'出力'!$T$39,2)</f>
        <v>637.37</v>
      </c>
      <c r="I93">
        <f>ROUND(F93+$C$2/2*(2*E93-(1/TAN('出力'!$T$132)-1/TAN(D93))*'出力'!$T$43)+(E93-(1/TAN('出力'!$T$132)-1/TAN(D93))*'出力'!$T$43)*'出力'!$T$39,2)</f>
        <v>762.97</v>
      </c>
      <c r="J93">
        <f>ROUND(F93+$C$2/2*SIN(D93)*SIN('出力'!$T$132)/SIN(D93-'出力'!$T$132)*E93^2,2)</f>
        <v>1587.38</v>
      </c>
      <c r="K93">
        <f>D93-$E$3-'出力'!$T$130-$E$82</f>
        <v>0.17852955550759292</v>
      </c>
      <c r="L93">
        <f>D93-$E$3-'出力'!$T$131-$E$83</f>
        <v>-0.28448866807507567</v>
      </c>
      <c r="S93" s="7"/>
      <c r="Z93" s="7"/>
    </row>
    <row r="94" spans="2:12" ht="13.5">
      <c r="B94">
        <f t="shared" si="20"/>
        <v>57.01</v>
      </c>
      <c r="C94">
        <f t="shared" si="21"/>
        <v>43</v>
      </c>
      <c r="D94">
        <f t="shared" si="22"/>
        <v>0.7504915783575616</v>
      </c>
      <c r="E94">
        <f>ROUND('出力'!$T$139*TAN('出力'!$T$131)+('出力'!$T$138+'出力'!$T$139)/TAN(D94)+'出力'!$T$138*TAN('出力'!$T$130),2)</f>
        <v>5.97</v>
      </c>
      <c r="F94">
        <f>ROUND($C$2/2*((1/TAN(D94)+TAN('出力'!$T$131))*('出力'!$T$138+'出力'!$T$139)^2+(TAN('出力'!$T$130)-TAN('出力'!$T$131))*'出力'!$T$138^2),2)</f>
        <v>550.09</v>
      </c>
      <c r="G94">
        <f>IF('出力'!$T$43=0,H94,IF(D94&lt;=$C$80,I94,J94))</f>
        <v>609.79</v>
      </c>
      <c r="H94">
        <f>ROUND(F94+E94*'出力'!$T$39,2)</f>
        <v>609.79</v>
      </c>
      <c r="I94">
        <f>ROUND(F94+$C$2/2*(2*E94-(1/TAN('出力'!$T$132)-1/TAN(D94))*'出力'!$T$43)+(E94-(1/TAN('出力'!$T$132)-1/TAN(D94))*'出力'!$T$43)*'出力'!$T$39,2)</f>
        <v>729.19</v>
      </c>
      <c r="J94">
        <f>ROUND(F94+$C$2/2*SIN(D94)*SIN('出力'!$T$132)/SIN(D94-'出力'!$T$132)*E94^2,2)</f>
        <v>1383.52</v>
      </c>
      <c r="K94">
        <f>D94-$E$3-'出力'!$T$130-$E$82</f>
        <v>0.19598284802753613</v>
      </c>
      <c r="L94">
        <f>D94-$E$3-'出力'!$T$131-$E$83</f>
        <v>-0.26703537555513246</v>
      </c>
    </row>
    <row r="95" spans="2:12" ht="13.5">
      <c r="B95">
        <f t="shared" si="20"/>
        <v>63.43</v>
      </c>
      <c r="C95">
        <f t="shared" si="21"/>
        <v>44</v>
      </c>
      <c r="D95">
        <f t="shared" si="22"/>
        <v>0.767944870877505</v>
      </c>
      <c r="E95">
        <f>ROUND('出力'!$T$139*TAN('出力'!$T$131)+('出力'!$T$138+'出力'!$T$139)/TAN(D95)+'出力'!$T$138*TAN('出力'!$T$130),2)</f>
        <v>5.67</v>
      </c>
      <c r="F95">
        <f>ROUND($C$2/2*((1/TAN(D95)+TAN('出力'!$T$131))*('出力'!$T$138+'出力'!$T$139)^2+(TAN('出力'!$T$130)-TAN('出力'!$T$131))*'出力'!$T$138^2),2)</f>
        <v>526.51</v>
      </c>
      <c r="G95">
        <f>IF('出力'!$T$43=0,H95,IF(D95&lt;=$C$80,I95,J95))</f>
        <v>583.21</v>
      </c>
      <c r="H95">
        <f>ROUND(F95+E95*'出力'!$T$39,2)</f>
        <v>583.21</v>
      </c>
      <c r="I95">
        <f>ROUND(F95+$C$2/2*(2*E95-(1/TAN('出力'!$T$132)-1/TAN(D95))*'出力'!$T$43)+(E95-(1/TAN('出力'!$T$132)-1/TAN(D95))*'出力'!$T$43)*'出力'!$T$39,2)</f>
        <v>696.61</v>
      </c>
      <c r="J95">
        <f>ROUND(F95+$C$2/2*SIN(D95)*SIN('出力'!$T$132)/SIN(D95-'出力'!$T$132)*E95^2,2)</f>
        <v>1218.66</v>
      </c>
      <c r="K95">
        <f>D95-$E$3-'出力'!$T$130-$E$82</f>
        <v>0.21343614054747945</v>
      </c>
      <c r="L95">
        <f>D95-$E$3-'出力'!$T$131-$E$83</f>
        <v>-0.24958208303518914</v>
      </c>
    </row>
    <row r="96" spans="2:12" ht="13.5">
      <c r="B96">
        <f t="shared" si="20"/>
        <v>69.04</v>
      </c>
      <c r="C96">
        <f t="shared" si="21"/>
        <v>45</v>
      </c>
      <c r="D96">
        <f t="shared" si="22"/>
        <v>0.7853981633974483</v>
      </c>
      <c r="E96">
        <f>ROUND('出力'!$T$139*TAN('出力'!$T$131)+('出力'!$T$138+'出力'!$T$139)/TAN(D96)+'出力'!$T$138*TAN('出力'!$T$130),2)</f>
        <v>5.39</v>
      </c>
      <c r="F96">
        <f>ROUND($C$2/2*((1/TAN(D96)+TAN('出力'!$T$131))*('出力'!$T$138+'出力'!$T$139)^2+(TAN('出力'!$T$130)-TAN('出力'!$T$131))*'出力'!$T$138^2),2)</f>
        <v>503.77</v>
      </c>
      <c r="G96">
        <f>IF('出力'!$T$43=0,H96,IF(D96&lt;=$C$80,I96,J96))</f>
        <v>557.67</v>
      </c>
      <c r="H96">
        <f>ROUND(F96+E96*'出力'!$T$39,2)</f>
        <v>557.67</v>
      </c>
      <c r="I96">
        <f>ROUND(F96+$C$2/2*(2*E96-(1/TAN('出力'!$T$132)-1/TAN(D96))*'出力'!$T$43)+(E96-(1/TAN('出力'!$T$132)-1/TAN(D96))*'出力'!$T$43)*'出力'!$T$39,2)</f>
        <v>665.47</v>
      </c>
      <c r="J96">
        <f>ROUND(F96+$C$2/2*SIN(D96)*SIN('出力'!$T$132)/SIN(D96-'出力'!$T$132)*E96^2,2)</f>
        <v>1084.8</v>
      </c>
      <c r="K96">
        <f>D96-$E$3-'出力'!$T$130-$E$82</f>
        <v>0.23088943306742277</v>
      </c>
      <c r="L96">
        <f>D96-$E$3-'出力'!$T$131-$E$83</f>
        <v>-0.23212879051524582</v>
      </c>
    </row>
    <row r="97" spans="2:12" ht="13.5">
      <c r="B97">
        <f t="shared" si="20"/>
        <v>73.88</v>
      </c>
      <c r="C97">
        <f t="shared" si="21"/>
        <v>46</v>
      </c>
      <c r="D97">
        <f t="shared" si="22"/>
        <v>0.8028514559173915</v>
      </c>
      <c r="E97">
        <f>ROUND('出力'!$T$139*TAN('出力'!$T$131)+('出力'!$T$138+'出力'!$T$139)/TAN(D97)+'出力'!$T$138*TAN('出力'!$T$130),2)</f>
        <v>5.12</v>
      </c>
      <c r="F97">
        <f>ROUND($C$2/2*((1/TAN(D97)+TAN('出力'!$T$131))*('出力'!$T$138+'出力'!$T$139)^2+(TAN('出力'!$T$130)-TAN('出力'!$T$131))*'出力'!$T$138^2),2)</f>
        <v>481.82</v>
      </c>
      <c r="G97">
        <f>IF('出力'!$T$43=0,H97,IF(D97&lt;=$C$80,I97,J97))</f>
        <v>533.02</v>
      </c>
      <c r="H97">
        <f>ROUND(F97+E97*'出力'!$T$39,2)</f>
        <v>533.02</v>
      </c>
      <c r="I97">
        <f>ROUND(F97+$C$2/2*(2*E97-(1/TAN('出力'!$T$132)-1/TAN(D97))*'出力'!$T$43)+(E97-(1/TAN('出力'!$T$132)-1/TAN(D97))*'出力'!$T$43)*'出力'!$T$39,2)</f>
        <v>635.42</v>
      </c>
      <c r="J97">
        <f>ROUND(F97+$C$2/2*SIN(D97)*SIN('出力'!$T$132)/SIN(D97-'出力'!$T$132)*E97^2,2)</f>
        <v>972.43</v>
      </c>
      <c r="K97">
        <f>D97-$E$3-'出力'!$T$130-$E$82</f>
        <v>0.24834272558736598</v>
      </c>
      <c r="L97">
        <f>D97-$E$3-'出力'!$T$131-$E$83</f>
        <v>-0.2146754979953026</v>
      </c>
    </row>
    <row r="98" spans="2:12" ht="13.5">
      <c r="B98">
        <f t="shared" si="20"/>
        <v>77.96</v>
      </c>
      <c r="C98">
        <f t="shared" si="21"/>
        <v>47</v>
      </c>
      <c r="D98">
        <f t="shared" si="22"/>
        <v>0.8203047484373349</v>
      </c>
      <c r="E98">
        <f>ROUND('出力'!$T$139*TAN('出力'!$T$131)+('出力'!$T$138+'出力'!$T$139)/TAN(D98)+'出力'!$T$138*TAN('出力'!$T$130),2)</f>
        <v>4.85</v>
      </c>
      <c r="F98">
        <f>ROUND($C$2/2*((1/TAN(D98)+TAN('出力'!$T$131))*('出力'!$T$138+'出力'!$T$139)^2+(TAN('出力'!$T$130)-TAN('出力'!$T$131))*'出力'!$T$138^2),2)</f>
        <v>460.58</v>
      </c>
      <c r="G98">
        <f>IF('出力'!$T$43=0,H98,IF(D98&lt;=$C$80,I98,J98))</f>
        <v>509.08</v>
      </c>
      <c r="H98">
        <f>ROUND(F98+E98*'出力'!$T$39,2)</f>
        <v>509.08</v>
      </c>
      <c r="I98">
        <f>ROUND(F98+$C$2/2*(2*E98-(1/TAN('出力'!$T$132)-1/TAN(D98))*'出力'!$T$43)+(E98-(1/TAN('出力'!$T$132)-1/TAN(D98))*'出力'!$T$43)*'出力'!$T$39,2)</f>
        <v>606.08</v>
      </c>
      <c r="J98">
        <f>ROUND(F98+$C$2/2*SIN(D98)*SIN('出力'!$T$132)/SIN(D98-'出力'!$T$132)*E98^2,2)</f>
        <v>875.08</v>
      </c>
      <c r="K98">
        <f>D98-$E$3-'出力'!$T$130-$E$82</f>
        <v>0.2657960181073094</v>
      </c>
      <c r="L98">
        <f>D98-$E$3-'出力'!$T$131-$E$83</f>
        <v>-0.19722220547535918</v>
      </c>
    </row>
    <row r="99" spans="2:12" ht="13.5">
      <c r="B99">
        <f t="shared" si="20"/>
        <v>81.38</v>
      </c>
      <c r="C99">
        <f t="shared" si="21"/>
        <v>48</v>
      </c>
      <c r="D99">
        <f t="shared" si="22"/>
        <v>0.8377580409572781</v>
      </c>
      <c r="E99">
        <f>ROUND('出力'!$T$139*TAN('出力'!$T$131)+('出力'!$T$138+'出力'!$T$139)/TAN(D99)+'出力'!$T$138*TAN('出力'!$T$130),2)</f>
        <v>4.59</v>
      </c>
      <c r="F99">
        <f>ROUND($C$2/2*((1/TAN(D99)+TAN('出力'!$T$131))*('出力'!$T$138+'出力'!$T$139)^2+(TAN('出力'!$T$130)-TAN('出力'!$T$131))*'出力'!$T$138^2),2)</f>
        <v>440.03</v>
      </c>
      <c r="G99">
        <f>IF('出力'!$T$43=0,H99,IF(D99&lt;=$C$80,I99,J99))</f>
        <v>485.93</v>
      </c>
      <c r="H99">
        <f>ROUND(F99+E99*'出力'!$T$39,2)</f>
        <v>485.93</v>
      </c>
      <c r="I99">
        <f>ROUND(F99+$C$2/2*(2*E99-(1/TAN('出力'!$T$132)-1/TAN(D99))*'出力'!$T$43)+(E99-(1/TAN('出力'!$T$132)-1/TAN(D99))*'出力'!$T$43)*'出力'!$T$39,2)</f>
        <v>577.73</v>
      </c>
      <c r="J99">
        <f>ROUND(F99+$C$2/2*SIN(D99)*SIN('出力'!$T$132)/SIN(D99-'出力'!$T$132)*E99^2,2)</f>
        <v>791.4</v>
      </c>
      <c r="K99">
        <f>D99-$E$3-'出力'!$T$130-$E$82</f>
        <v>0.2832493106272526</v>
      </c>
      <c r="L99">
        <f>D99-$E$3-'出力'!$T$131-$E$83</f>
        <v>-0.17976891295541597</v>
      </c>
    </row>
    <row r="100" spans="2:12" ht="13.5">
      <c r="B100">
        <f t="shared" si="20"/>
        <v>84.15</v>
      </c>
      <c r="C100">
        <f t="shared" si="21"/>
        <v>49</v>
      </c>
      <c r="D100">
        <f t="shared" si="22"/>
        <v>0.8552113334772214</v>
      </c>
      <c r="E100">
        <f>ROUND('出力'!$T$139*TAN('出力'!$T$131)+('出力'!$T$138+'出力'!$T$139)/TAN(D100)+'出力'!$T$138*TAN('出力'!$T$130),2)</f>
        <v>4.34</v>
      </c>
      <c r="F100">
        <f>ROUND($C$2/2*((1/TAN(D100)+TAN('出力'!$T$131))*('出力'!$T$138+'出力'!$T$139)^2+(TAN('出力'!$T$130)-TAN('出力'!$T$131))*'出力'!$T$138^2),2)</f>
        <v>420.12</v>
      </c>
      <c r="G100">
        <f>IF('出力'!$T$43=0,H100,IF(D100&lt;=$C$80,I100,J100))</f>
        <v>463.52</v>
      </c>
      <c r="H100">
        <f>ROUND(F100+E100*'出力'!$T$39,2)</f>
        <v>463.52</v>
      </c>
      <c r="I100">
        <f>ROUND(F100+$C$2/2*(2*E100-(1/TAN('出力'!$T$132)-1/TAN(D100))*'出力'!$T$43)+(E100-(1/TAN('出力'!$T$132)-1/TAN(D100))*'出力'!$T$43)*'出力'!$T$39,2)</f>
        <v>550.32</v>
      </c>
      <c r="J100">
        <f>ROUND(F100+$C$2/2*SIN(D100)*SIN('出力'!$T$132)/SIN(D100-'出力'!$T$132)*E100^2,2)</f>
        <v>718.76</v>
      </c>
      <c r="K100">
        <f>D100-$E$3-'出力'!$T$130-$E$82</f>
        <v>0.30070260314719593</v>
      </c>
      <c r="L100">
        <f>D100-$E$3-'出力'!$T$131-$E$83</f>
        <v>-0.16231562043547265</v>
      </c>
    </row>
    <row r="101" spans="2:12" ht="13.5">
      <c r="B101">
        <f t="shared" si="20"/>
        <v>86.32</v>
      </c>
      <c r="C101">
        <f>C100+1</f>
        <v>50</v>
      </c>
      <c r="D101">
        <f>C101*PI()/180</f>
        <v>0.8726646259971648</v>
      </c>
      <c r="E101">
        <f>ROUND('出力'!$T$139*TAN('出力'!$T$131)+('出力'!$T$138+'出力'!$T$139)/TAN(D101)+'出力'!$T$138*TAN('出力'!$T$130),2)</f>
        <v>4.1</v>
      </c>
      <c r="F101">
        <f>ROUND($C$2/2*((1/TAN(D101)+TAN('出力'!$T$131))*('出力'!$T$138+'出力'!$T$139)^2+(TAN('出力'!$T$130)-TAN('出力'!$T$131))*'出力'!$T$138^2),2)</f>
        <v>400.8</v>
      </c>
      <c r="G101">
        <f>IF('出力'!$T$43=0,H101,IF(D101&lt;=$C$80,I101,J101))</f>
        <v>441.8</v>
      </c>
      <c r="H101">
        <f>ROUND(F101+E101*'出力'!$T$39,2)</f>
        <v>441.8</v>
      </c>
      <c r="I101">
        <f>ROUND(F101+$C$2/2*(2*E101-(1/TAN('出力'!$T$132)-1/TAN(D101))*'出力'!$T$43)+(E101-(1/TAN('出力'!$T$132)-1/TAN(D101))*'出力'!$T$43)*'出力'!$T$39,2)</f>
        <v>523.8</v>
      </c>
      <c r="J101">
        <f>ROUND(F101+$C$2/2*SIN(D101)*SIN('出力'!$T$132)/SIN(D101-'出力'!$T$132)*E101^2,2)</f>
        <v>655.15</v>
      </c>
      <c r="K101">
        <f>D101-$E$3-'出力'!$T$130-$E$82</f>
        <v>0.31815589566713925</v>
      </c>
      <c r="L101">
        <f>D101-$E$3-'出力'!$T$131-$E$83</f>
        <v>-0.14486232791552933</v>
      </c>
    </row>
    <row r="102" spans="2:12" ht="13.5">
      <c r="B102">
        <f t="shared" si="20"/>
        <v>87.92</v>
      </c>
      <c r="C102">
        <f aca="true" t="shared" si="23" ref="C102:C112">C101+1</f>
        <v>51</v>
      </c>
      <c r="D102">
        <f t="shared" si="22"/>
        <v>0.890117918517108</v>
      </c>
      <c r="E102">
        <f>ROUND('出力'!$T$139*TAN('出力'!$T$131)+('出力'!$T$138+'出力'!$T$139)/TAN(D102)+'出力'!$T$138*TAN('出力'!$T$130),2)</f>
        <v>3.87</v>
      </c>
      <c r="F102">
        <f>ROUND($C$2/2*((1/TAN(D102)+TAN('出力'!$T$131))*('出力'!$T$138+'出力'!$T$139)^2+(TAN('出力'!$T$130)-TAN('出力'!$T$131))*'出力'!$T$138^2),2)</f>
        <v>382.04</v>
      </c>
      <c r="G102">
        <f>IF('出力'!$T$43=0,H102,IF(D102&lt;=$C$80,I102,J102))</f>
        <v>420.74</v>
      </c>
      <c r="H102">
        <f>ROUND(F102+E102*'出力'!$T$39,2)</f>
        <v>420.74</v>
      </c>
      <c r="I102">
        <f>ROUND(F102+$C$2/2*(2*E102-(1/TAN('出力'!$T$132)-1/TAN(D102))*'出力'!$T$43)+(E102-(1/TAN('出力'!$T$132)-1/TAN(D102))*'出力'!$T$43)*'出力'!$T$39,2)</f>
        <v>498.14</v>
      </c>
      <c r="J102">
        <f>ROUND(F102+$C$2/2*SIN(D102)*SIN('出力'!$T$132)/SIN(D102-'出力'!$T$132)*E102^2,2)</f>
        <v>599.03</v>
      </c>
      <c r="K102">
        <f>D102-$E$3-'出力'!$T$130-$E$82</f>
        <v>0.33560918818708246</v>
      </c>
      <c r="L102">
        <f>D102-$E$3-'出力'!$T$131-$E$83</f>
        <v>-0.12740903539558612</v>
      </c>
    </row>
    <row r="103" spans="2:12" ht="13.5">
      <c r="B103">
        <f t="shared" si="20"/>
        <v>88.96</v>
      </c>
      <c r="C103">
        <f t="shared" si="23"/>
        <v>52</v>
      </c>
      <c r="D103">
        <f t="shared" si="22"/>
        <v>0.9075712110370514</v>
      </c>
      <c r="E103">
        <f>ROUND('出力'!$T$139*TAN('出力'!$T$131)+('出力'!$T$138+'出力'!$T$139)/TAN(D103)+'出力'!$T$138*TAN('出力'!$T$130),2)</f>
        <v>3.64</v>
      </c>
      <c r="F103">
        <f>ROUND($C$2/2*((1/TAN(D103)+TAN('出力'!$T$131))*('出力'!$T$138+'出力'!$T$139)^2+(TAN('出力'!$T$130)-TAN('出力'!$T$131))*'出力'!$T$138^2),2)</f>
        <v>363.8</v>
      </c>
      <c r="G103">
        <f>IF('出力'!$T$43=0,H103,IF(D103&lt;=$C$80,I103,J103))</f>
        <v>400.2</v>
      </c>
      <c r="H103">
        <f>ROUND(F103+E103*'出力'!$T$39,2)</f>
        <v>400.2</v>
      </c>
      <c r="I103">
        <f>ROUND(F103+$C$2/2*(2*E103-(1/TAN('出力'!$T$132)-1/TAN(D103))*'出力'!$T$43)+(E103-(1/TAN('出力'!$T$132)-1/TAN(D103))*'出力'!$T$43)*'出力'!$T$39,2)</f>
        <v>473</v>
      </c>
      <c r="J103">
        <f>ROUND(F103+$C$2/2*SIN(D103)*SIN('出力'!$T$132)/SIN(D103-'出力'!$T$132)*E103^2,2)</f>
        <v>548.15</v>
      </c>
      <c r="K103">
        <f>D103-$E$3-'出力'!$T$130-$E$82</f>
        <v>0.3530624807070259</v>
      </c>
      <c r="L103">
        <f>D103-$E$3-'出力'!$T$131-$E$83</f>
        <v>-0.10995574287564269</v>
      </c>
    </row>
    <row r="104" spans="2:12" ht="13.5">
      <c r="B104">
        <f t="shared" si="20"/>
        <v>89.49</v>
      </c>
      <c r="C104">
        <f t="shared" si="23"/>
        <v>53</v>
      </c>
      <c r="D104">
        <f t="shared" si="22"/>
        <v>0.9250245035569946</v>
      </c>
      <c r="E104">
        <f>ROUND('出力'!$T$139*TAN('出力'!$T$131)+('出力'!$T$138+'出力'!$T$139)/TAN(D104)+'出力'!$T$138*TAN('出力'!$T$130),2)</f>
        <v>3.42</v>
      </c>
      <c r="F104">
        <f>ROUND($C$2/2*((1/TAN(D104)+TAN('出力'!$T$131))*('出力'!$T$138+'出力'!$T$139)^2+(TAN('出力'!$T$130)-TAN('出力'!$T$131))*'出力'!$T$138^2),2)</f>
        <v>346.05</v>
      </c>
      <c r="G104">
        <f>IF('出力'!$T$43=0,H104,IF(D104&lt;=$C$80,I104,J104))</f>
        <v>380.25</v>
      </c>
      <c r="H104">
        <f>ROUND(F104+E104*'出力'!$T$39,2)</f>
        <v>380.25</v>
      </c>
      <c r="I104">
        <f>ROUND(F104+$C$2/2*(2*E104-(1/TAN('出力'!$T$132)-1/TAN(D104))*'出力'!$T$43)+(E104-(1/TAN('出力'!$T$132)-1/TAN(D104))*'出力'!$T$43)*'出力'!$T$39,2)</f>
        <v>448.65</v>
      </c>
      <c r="J104">
        <f>ROUND(F104+$C$2/2*SIN(D104)*SIN('出力'!$T$132)/SIN(D104-'出力'!$T$132)*E104^2,2)</f>
        <v>502.74</v>
      </c>
      <c r="K104">
        <f>D104-$E$3-'出力'!$T$130-$E$82</f>
        <v>0.3705157732269691</v>
      </c>
      <c r="L104">
        <f>D104-$E$3-'出力'!$T$131-$E$83</f>
        <v>-0.09250245035569948</v>
      </c>
    </row>
    <row r="105" spans="2:12" ht="13.5">
      <c r="B105">
        <f t="shared" si="20"/>
        <v>89.51</v>
      </c>
      <c r="C105">
        <f t="shared" si="23"/>
        <v>54</v>
      </c>
      <c r="D105">
        <f t="shared" si="22"/>
        <v>0.9424777960769379</v>
      </c>
      <c r="E105">
        <f>ROUND('出力'!$T$139*TAN('出力'!$T$131)+('出力'!$T$138+'出力'!$T$139)/TAN(D105)+'出力'!$T$138*TAN('出力'!$T$130),2)</f>
        <v>3.2</v>
      </c>
      <c r="F105">
        <f>ROUND($C$2/2*((1/TAN(D105)+TAN('出力'!$T$131))*('出力'!$T$138+'出力'!$T$139)^2+(TAN('出力'!$T$130)-TAN('出力'!$T$131))*'出力'!$T$138^2),2)</f>
        <v>328.76</v>
      </c>
      <c r="G105">
        <f>IF('出力'!$T$43=0,H105,IF(D105&lt;=$C$80,I105,J105))</f>
        <v>360.76</v>
      </c>
      <c r="H105">
        <f>ROUND(F105+E105*'出力'!$T$39,2)</f>
        <v>360.76</v>
      </c>
      <c r="I105">
        <f>ROUND(F105+$C$2/2*(2*E105-(1/TAN('出力'!$T$132)-1/TAN(D105))*'出力'!$T$43)+(E105-(1/TAN('出力'!$T$132)-1/TAN(D105))*'出力'!$T$43)*'出力'!$T$39,2)</f>
        <v>424.76</v>
      </c>
      <c r="J105">
        <f>ROUND(F105+$C$2/2*SIN(D105)*SIN('出力'!$T$132)/SIN(D105-'出力'!$T$132)*E105^2,2)</f>
        <v>461.15</v>
      </c>
      <c r="K105">
        <f>D105-$E$3-'出力'!$T$130-$E$82</f>
        <v>0.3879690657469124</v>
      </c>
      <c r="L105">
        <f>D105-$E$3-'出力'!$T$131-$E$83</f>
        <v>-0.07504915783575616</v>
      </c>
    </row>
    <row r="106" spans="2:12" ht="13.5">
      <c r="B106">
        <f t="shared" si="20"/>
        <v>89.06</v>
      </c>
      <c r="C106">
        <f t="shared" si="23"/>
        <v>55</v>
      </c>
      <c r="D106">
        <f t="shared" si="22"/>
        <v>0.9599310885968813</v>
      </c>
      <c r="E106">
        <f>ROUND('出力'!$T$139*TAN('出力'!$T$131)+('出力'!$T$138+'出力'!$T$139)/TAN(D106)+'出力'!$T$138*TAN('出力'!$T$130),2)</f>
        <v>2.99</v>
      </c>
      <c r="F106">
        <f>ROUND($C$2/2*((1/TAN(D106)+TAN('出力'!$T$131))*('出力'!$T$138+'出力'!$T$139)^2+(TAN('出力'!$T$130)-TAN('出力'!$T$131))*'出力'!$T$138^2),2)</f>
        <v>311.91</v>
      </c>
      <c r="G106">
        <f>IF('出力'!$T$43=0,H106,IF(D106&lt;=$C$80,I106,J106))</f>
        <v>341.81</v>
      </c>
      <c r="H106">
        <f>ROUND(F106+E106*'出力'!$T$39,2)</f>
        <v>341.81</v>
      </c>
      <c r="I106">
        <f>ROUND(F106+$C$2/2*(2*E106-(1/TAN('出力'!$T$132)-1/TAN(D106))*'出力'!$T$43)+(E106-(1/TAN('出力'!$T$132)-1/TAN(D106))*'出力'!$T$43)*'出力'!$T$39,2)</f>
        <v>401.61</v>
      </c>
      <c r="J106">
        <f>ROUND(F106+$C$2/2*SIN(D106)*SIN('出力'!$T$132)/SIN(D106-'出力'!$T$132)*E106^2,2)</f>
        <v>423.69</v>
      </c>
      <c r="K106">
        <f>D106-$E$3-'出力'!$T$130-$E$82</f>
        <v>0.40542235826685574</v>
      </c>
      <c r="L106">
        <f>D106-$E$3-'出力'!$T$131-$E$83</f>
        <v>-0.057595865315812844</v>
      </c>
    </row>
    <row r="107" spans="2:12" ht="13.5">
      <c r="B107">
        <f t="shared" si="20"/>
        <v>88.18</v>
      </c>
      <c r="C107">
        <f t="shared" si="23"/>
        <v>56</v>
      </c>
      <c r="D107">
        <f t="shared" si="22"/>
        <v>0.9773843811168246</v>
      </c>
      <c r="E107">
        <f>ROUND('出力'!$T$139*TAN('出力'!$T$131)+('出力'!$T$138+'出力'!$T$139)/TAN(D107)+'出力'!$T$138*TAN('出力'!$T$130),2)</f>
        <v>2.79</v>
      </c>
      <c r="F107">
        <f>ROUND($C$2/2*((1/TAN(D107)+TAN('出力'!$T$131))*('出力'!$T$138+'出力'!$T$139)^2+(TAN('出力'!$T$130)-TAN('出力'!$T$131))*'出力'!$T$138^2),2)</f>
        <v>295.46</v>
      </c>
      <c r="G107">
        <f>IF('出力'!$T$43=0,H107,IF(D107&lt;=$C$80,I107,J107))</f>
        <v>323.36</v>
      </c>
      <c r="H107">
        <f>ROUND(F107+E107*'出力'!$T$39,2)</f>
        <v>323.36</v>
      </c>
      <c r="I107">
        <f>ROUND(F107+$C$2/2*(2*E107-(1/TAN('出力'!$T$132)-1/TAN(D107))*'出力'!$T$43)+(E107-(1/TAN('出力'!$T$132)-1/TAN(D107))*'出力'!$T$43)*'出力'!$T$39,2)</f>
        <v>379.16</v>
      </c>
      <c r="J107">
        <f>ROUND(F107+$C$2/2*SIN(D107)*SIN('出力'!$T$132)/SIN(D107-'出力'!$T$132)*E107^2,2)</f>
        <v>389.76</v>
      </c>
      <c r="K107">
        <f>D107-$E$3-'出力'!$T$130-$E$82</f>
        <v>0.42287565078679906</v>
      </c>
      <c r="L107">
        <f>D107-$E$3-'出力'!$T$131-$E$83</f>
        <v>-0.040142572795869524</v>
      </c>
    </row>
    <row r="108" spans="2:12" ht="13.5">
      <c r="B108">
        <f t="shared" si="20"/>
        <v>86.84</v>
      </c>
      <c r="C108">
        <f t="shared" si="23"/>
        <v>57</v>
      </c>
      <c r="D108">
        <f t="shared" si="22"/>
        <v>0.9948376736367678</v>
      </c>
      <c r="E108">
        <f>ROUND('出力'!$T$139*TAN('出力'!$T$131)+('出力'!$T$138+'出力'!$T$139)/TAN(D108)+'出力'!$T$138*TAN('出力'!$T$130),2)</f>
        <v>2.59</v>
      </c>
      <c r="F108">
        <f>ROUND($C$2/2*((1/TAN(D108)+TAN('出力'!$T$131))*('出力'!$T$138+'出力'!$T$139)^2+(TAN('出力'!$T$130)-TAN('出力'!$T$131))*'出力'!$T$138^2),2)</f>
        <v>279.4</v>
      </c>
      <c r="G108">
        <f>IF('出力'!$T$43=0,H108,IF(D108&lt;=$C$80,I108,J108))</f>
        <v>305.3</v>
      </c>
      <c r="H108">
        <f>ROUND(F108+E108*'出力'!$T$39,2)</f>
        <v>305.3</v>
      </c>
      <c r="I108">
        <f>ROUND(F108+$C$2/2*(2*E108-(1/TAN('出力'!$T$132)-1/TAN(D108))*'出力'!$T$43)+(E108-(1/TAN('出力'!$T$132)-1/TAN(D108))*'出力'!$T$43)*'出力'!$T$39,2)</f>
        <v>357.1</v>
      </c>
      <c r="J108">
        <f>ROUND(F108+$C$2/2*SIN(D108)*SIN('出力'!$T$132)/SIN(D108-'出力'!$T$132)*E108^2,2)</f>
        <v>358.26</v>
      </c>
      <c r="K108">
        <f>D108-$E$3-'出力'!$T$130-$E$82</f>
        <v>0.44032894330674227</v>
      </c>
      <c r="L108">
        <f>D108-$E$3-'出力'!$T$131-$E$83</f>
        <v>-0.022689280275926316</v>
      </c>
    </row>
    <row r="109" spans="2:12" ht="13.5">
      <c r="B109">
        <f t="shared" si="20"/>
        <v>85.05</v>
      </c>
      <c r="C109">
        <f t="shared" si="23"/>
        <v>58</v>
      </c>
      <c r="D109">
        <f t="shared" si="22"/>
        <v>1.0122909661567112</v>
      </c>
      <c r="E109">
        <f>ROUND('出力'!$T$139*TAN('出力'!$T$131)+('出力'!$T$138+'出力'!$T$139)/TAN(D109)+'出力'!$T$138*TAN('出力'!$T$130),2)</f>
        <v>2.39</v>
      </c>
      <c r="F109">
        <f>ROUND($C$2/2*((1/TAN(D109)+TAN('出力'!$T$131))*('出力'!$T$138+'出力'!$T$139)^2+(TAN('出力'!$T$130)-TAN('出力'!$T$131))*'出力'!$T$138^2),2)</f>
        <v>263.69</v>
      </c>
      <c r="G109">
        <f>IF('出力'!$T$43=0,H109,IF(D109&lt;=$C$80,I109,J109))</f>
        <v>287.59</v>
      </c>
      <c r="H109">
        <f>ROUND(F109+E109*'出力'!$T$39,2)</f>
        <v>287.59</v>
      </c>
      <c r="I109">
        <f>ROUND(F109+$C$2/2*(2*E109-(1/TAN('出力'!$T$132)-1/TAN(D109))*'出力'!$T$43)+(E109-(1/TAN('出力'!$T$132)-1/TAN(D109))*'出力'!$T$43)*'出力'!$T$39,2)</f>
        <v>335.39</v>
      </c>
      <c r="J109">
        <f>ROUND(F109+$C$2/2*SIN(D109)*SIN('出力'!$T$132)/SIN(D109-'出力'!$T$132)*E109^2,2)</f>
        <v>328.96</v>
      </c>
      <c r="K109">
        <f>D109-$E$3-'出力'!$T$130-$E$82</f>
        <v>0.4577822358266857</v>
      </c>
      <c r="L109">
        <f>D109-$E$3-'出力'!$T$131-$E$83</f>
        <v>-0.005235987755982885</v>
      </c>
    </row>
    <row r="110" spans="2:12" ht="13.5">
      <c r="B110">
        <f t="shared" si="20"/>
        <v>82.87</v>
      </c>
      <c r="C110">
        <f t="shared" si="23"/>
        <v>59</v>
      </c>
      <c r="D110">
        <f t="shared" si="22"/>
        <v>1.0297442586766543</v>
      </c>
      <c r="E110">
        <f>ROUND('出力'!$T$139*TAN('出力'!$T$131)+('出力'!$T$138+'出力'!$T$139)/TAN(D110)+'出力'!$T$138*TAN('出力'!$T$130),2)</f>
        <v>2.2</v>
      </c>
      <c r="F110">
        <f>ROUND($C$2/2*((1/TAN(D110)+TAN('出力'!$T$131))*('出力'!$T$138+'出力'!$T$139)^2+(TAN('出力'!$T$130)-TAN('出力'!$T$131))*'出力'!$T$138^2),2)</f>
        <v>248.33</v>
      </c>
      <c r="G110">
        <f>IF('出力'!$T$43=0,H110,IF(D110&lt;=$C$80,I110,J110))</f>
        <v>270.33</v>
      </c>
      <c r="H110">
        <f>ROUND(F110+E110*'出力'!$T$39,2)</f>
        <v>270.33</v>
      </c>
      <c r="I110">
        <f>ROUND(F110+$C$2/2*(2*E110-(1/TAN('出力'!$T$132)-1/TAN(D110))*'出力'!$T$43)+(E110-(1/TAN('出力'!$T$132)-1/TAN(D110))*'出力'!$T$43)*'出力'!$T$39,2)</f>
        <v>314.33</v>
      </c>
      <c r="J110">
        <f>ROUND(F110+$C$2/2*SIN(D110)*SIN('出力'!$T$132)/SIN(D110-'出力'!$T$132)*E110^2,2)</f>
        <v>302.16</v>
      </c>
      <c r="K110">
        <f>D110-$E$3-'出力'!$T$130-$E$82</f>
        <v>0.4752355283466288</v>
      </c>
      <c r="L110">
        <f>D110-$E$3-'出力'!$T$131-$E$83</f>
        <v>0.012217304763960213</v>
      </c>
    </row>
    <row r="111" spans="1:12" ht="13.5">
      <c r="A111" s="2"/>
      <c r="B111">
        <f t="shared" si="20"/>
        <v>80.28</v>
      </c>
      <c r="C111" s="2">
        <f t="shared" si="23"/>
        <v>60</v>
      </c>
      <c r="D111" s="2">
        <f t="shared" si="22"/>
        <v>1.0471975511965976</v>
      </c>
      <c r="E111">
        <f>ROUND('出力'!$T$139*TAN('出力'!$T$131)+('出力'!$T$138+'出力'!$T$139)/TAN(D111)+'出力'!$T$138*TAN('出力'!$T$130),2)</f>
        <v>2.01</v>
      </c>
      <c r="F111">
        <f>ROUND($C$2/2*((1/TAN(D111)+TAN('出力'!$T$131))*('出力'!$T$138+'出力'!$T$139)^2+(TAN('出力'!$T$130)-TAN('出力'!$T$131))*'出力'!$T$138^2),2)</f>
        <v>233.28</v>
      </c>
      <c r="G111">
        <f>IF('出力'!$T$43=0,H111,IF(D111&lt;=$C$80,I111,J111))</f>
        <v>253.38</v>
      </c>
      <c r="H111">
        <f>ROUND(F111+E111*'出力'!$T$39,2)</f>
        <v>253.38</v>
      </c>
      <c r="I111">
        <f>ROUND(F111+$C$2/2*(2*E111-(1/TAN('出力'!$T$132)-1/TAN(D111))*'出力'!$T$43)+(E111-(1/TAN('出力'!$T$132)-1/TAN(D111))*'出力'!$T$43)*'出力'!$T$39,2)</f>
        <v>293.58</v>
      </c>
      <c r="J111">
        <f>ROUND(F111+$C$2/2*SIN(D111)*SIN('出力'!$T$132)/SIN(D111-'出力'!$T$132)*E111^2,2)</f>
        <v>277.07</v>
      </c>
      <c r="K111" s="2">
        <f>D111-$E$3-'出力'!$T$130-$E$82</f>
        <v>0.4926888208665721</v>
      </c>
      <c r="L111" s="2">
        <f>D111-$E$3-'出力'!$T$131-$E$83</f>
        <v>0.029670597283903533</v>
      </c>
    </row>
    <row r="112" spans="2:12" ht="13.5">
      <c r="B112">
        <f t="shared" si="20"/>
        <v>77.28</v>
      </c>
      <c r="C112">
        <f t="shared" si="23"/>
        <v>61</v>
      </c>
      <c r="D112">
        <f t="shared" si="22"/>
        <v>1.064650843716541</v>
      </c>
      <c r="E112">
        <f>ROUND('出力'!$T$139*TAN('出力'!$T$131)+('出力'!$T$138+'出力'!$T$139)/TAN(D112)+'出力'!$T$138*TAN('出力'!$T$130),2)</f>
        <v>1.82</v>
      </c>
      <c r="F112">
        <f>ROUND($C$2/2*((1/TAN(D112)+TAN('出力'!$T$131))*('出力'!$T$138+'出力'!$T$139)^2+(TAN('出力'!$T$130)-TAN('出力'!$T$131))*'出力'!$T$138^2),2)</f>
        <v>218.53</v>
      </c>
      <c r="G112">
        <f>IF('出力'!$T$43=0,H112,IF(D112&lt;=$C$80,I112,J112))</f>
        <v>236.73</v>
      </c>
      <c r="H112">
        <f>ROUND(F112+E112*'出力'!$T$39,2)</f>
        <v>236.73</v>
      </c>
      <c r="I112">
        <f>ROUND(F112+$C$2/2*(2*E112-(1/TAN('出力'!$T$132)-1/TAN(D112))*'出力'!$T$43)+(E112-(1/TAN('出力'!$T$132)-1/TAN(D112))*'出力'!$T$43)*'出力'!$T$39,2)</f>
        <v>273.13</v>
      </c>
      <c r="J112">
        <f>ROUND(F112+$C$2/2*SIN(D112)*SIN('出力'!$T$132)/SIN(D112-'出力'!$T$132)*E112^2,2)</f>
        <v>253.56</v>
      </c>
      <c r="K112">
        <f>D112-$E$3-'出力'!$T$130-$E$82</f>
        <v>0.5101421133865154</v>
      </c>
      <c r="L112">
        <f>D112-$E$3-'出力'!$T$131-$E$83</f>
        <v>0.04712388980384685</v>
      </c>
    </row>
    <row r="113" spans="2:12" ht="13.5">
      <c r="B113">
        <f t="shared" si="20"/>
        <v>73.93</v>
      </c>
      <c r="C113">
        <f>C112+1</f>
        <v>62</v>
      </c>
      <c r="D113">
        <f>C113*PI()/180</f>
        <v>1.0821041362364843</v>
      </c>
      <c r="E113">
        <f>ROUND('出力'!$T$139*TAN('出力'!$T$131)+('出力'!$T$138+'出力'!$T$139)/TAN(D113)+'出力'!$T$138*TAN('出力'!$T$130),2)</f>
        <v>1.64</v>
      </c>
      <c r="F113">
        <f>ROUND($C$2/2*((1/TAN(D113)+TAN('出力'!$T$131))*('出力'!$T$138+'出力'!$T$139)^2+(TAN('出力'!$T$130)-TAN('出力'!$T$131))*'出力'!$T$138^2),2)</f>
        <v>204.07</v>
      </c>
      <c r="G113">
        <f>IF('出力'!$T$43=0,H113,IF(D113&lt;=$C$80,I113,J113))</f>
        <v>220.47</v>
      </c>
      <c r="H113">
        <f>ROUND(F113+E113*'出力'!$T$39,2)</f>
        <v>220.47</v>
      </c>
      <c r="I113">
        <f>ROUND(F113+$C$2/2*(2*E113-(1/TAN('出力'!$T$132)-1/TAN(D113))*'出力'!$T$43)+(E113-(1/TAN('出力'!$T$132)-1/TAN(D113))*'出力'!$T$43)*'出力'!$T$39,2)</f>
        <v>253.27</v>
      </c>
      <c r="J113">
        <f>ROUND(F113+$C$2/2*SIN(D113)*SIN('出力'!$T$132)/SIN(D113-'出力'!$T$132)*E113^2,2)</f>
        <v>231.85</v>
      </c>
      <c r="K113">
        <f>D113-$E$3-'出力'!$T$130-$E$82</f>
        <v>0.5275954059064587</v>
      </c>
      <c r="L113">
        <f>D113-$E$3-'出力'!$T$131-$E$83</f>
        <v>0.06457718232379017</v>
      </c>
    </row>
    <row r="114" spans="2:12" ht="13.5">
      <c r="B114">
        <f t="shared" si="20"/>
        <v>70.23</v>
      </c>
      <c r="C114">
        <f aca="true" t="shared" si="24" ref="C114:C126">C113+1</f>
        <v>63</v>
      </c>
      <c r="D114">
        <f t="shared" si="22"/>
        <v>1.0995574287564276</v>
      </c>
      <c r="E114">
        <f>ROUND('出力'!$T$139*TAN('出力'!$T$131)+('出力'!$T$138+'出力'!$T$139)/TAN(D114)+'出力'!$T$138*TAN('出力'!$T$130),2)</f>
        <v>1.47</v>
      </c>
      <c r="F114">
        <f>ROUND($C$2/2*((1/TAN(D114)+TAN('出力'!$T$131))*('出力'!$T$138+'出力'!$T$139)^2+(TAN('出力'!$T$130)-TAN('出力'!$T$131))*'出力'!$T$138^2),2)</f>
        <v>189.87</v>
      </c>
      <c r="G114">
        <f>IF('出力'!$T$43=0,H114,IF(D114&lt;=$C$80,I114,J114))</f>
        <v>204.57</v>
      </c>
      <c r="H114">
        <f>ROUND(F114+E114*'出力'!$T$39,2)</f>
        <v>204.57</v>
      </c>
      <c r="I114">
        <f>ROUND(F114+$C$2/2*(2*E114-(1/TAN('出力'!$T$132)-1/TAN(D114))*'出力'!$T$43)+(E114-(1/TAN('出力'!$T$132)-1/TAN(D114))*'出力'!$T$43)*'出力'!$T$39,2)</f>
        <v>233.97</v>
      </c>
      <c r="J114">
        <f>ROUND(F114+$C$2/2*SIN(D114)*SIN('出力'!$T$132)/SIN(D114-'出力'!$T$132)*E114^2,2)</f>
        <v>211.69</v>
      </c>
      <c r="K114">
        <f>D114-$E$3-'出力'!$T$130-$E$82</f>
        <v>0.545048698426402</v>
      </c>
      <c r="L114">
        <f>D114-$E$3-'出力'!$T$131-$E$83</f>
        <v>0.08203047484373349</v>
      </c>
    </row>
    <row r="115" spans="2:12" ht="13.5">
      <c r="B115">
        <f t="shared" si="20"/>
        <v>66.1</v>
      </c>
      <c r="C115">
        <f t="shared" si="24"/>
        <v>64</v>
      </c>
      <c r="D115">
        <f t="shared" si="22"/>
        <v>1.117010721276371</v>
      </c>
      <c r="E115">
        <f>ROUND('出力'!$T$139*TAN('出力'!$T$131)+('出力'!$T$138+'出力'!$T$139)/TAN(D115)+'出力'!$T$138*TAN('出力'!$T$130),2)</f>
        <v>1.29</v>
      </c>
      <c r="F115">
        <f>ROUND($C$2/2*((1/TAN(D115)+TAN('出力'!$T$131))*('出力'!$T$138+'出力'!$T$139)^2+(TAN('出力'!$T$130)-TAN('出力'!$T$131))*'出力'!$T$138^2),2)</f>
        <v>175.92</v>
      </c>
      <c r="G115">
        <f>IF('出力'!$T$43=0,H115,IF(D115&lt;=$C$80,I115,J115))</f>
        <v>188.82</v>
      </c>
      <c r="H115">
        <f>ROUND(F115+E115*'出力'!$T$39,2)</f>
        <v>188.82</v>
      </c>
      <c r="I115">
        <f>ROUND(F115+$C$2/2*(2*E115-(1/TAN('出力'!$T$132)-1/TAN(D115))*'出力'!$T$43)+(E115-(1/TAN('出力'!$T$132)-1/TAN(D115))*'出力'!$T$43)*'出力'!$T$39,2)</f>
        <v>214.62</v>
      </c>
      <c r="J115">
        <f>ROUND(F115+$C$2/2*SIN(D115)*SIN('出力'!$T$132)/SIN(D115-'出力'!$T$132)*E115^2,2)</f>
        <v>192.36</v>
      </c>
      <c r="K115">
        <f>D115-$E$3-'出力'!$T$130-$E$82</f>
        <v>0.5625019909463453</v>
      </c>
      <c r="L115">
        <f>D115-$E$3-'出力'!$T$131-$E$83</f>
        <v>0.09948376736367681</v>
      </c>
    </row>
    <row r="116" spans="2:12" ht="13.5">
      <c r="B116">
        <f>ROUND((G116/COS($C$4)*SIN(D116-$E$3-$C$4)-$C$60*COS(K116))/COS(L116),2)</f>
        <v>61.65</v>
      </c>
      <c r="C116">
        <f t="shared" si="24"/>
        <v>65</v>
      </c>
      <c r="D116">
        <f t="shared" si="22"/>
        <v>1.1344640137963142</v>
      </c>
      <c r="E116">
        <f>ROUND('出力'!$T$139*TAN('出力'!$T$131)+('出力'!$T$138+'出力'!$T$139)/TAN(D116)+'出力'!$T$138*TAN('出力'!$T$130),2)</f>
        <v>1.12</v>
      </c>
      <c r="F116">
        <f>ROUND($C$2/2*((1/TAN(D116)+TAN('出力'!$T$131))*('出力'!$T$138+'出力'!$T$139)^2+(TAN('出力'!$T$130)-TAN('出力'!$T$131))*'出力'!$T$138^2),2)</f>
        <v>162.21</v>
      </c>
      <c r="G116">
        <f>IF('出力'!$T$43=0,H116,IF(D116&lt;=$C$80,I116,J116))</f>
        <v>173.41</v>
      </c>
      <c r="H116">
        <f>ROUND(F116+E116*'出力'!$T$39,2)</f>
        <v>173.41</v>
      </c>
      <c r="I116">
        <f>ROUND(F116+$C$2/2*(2*E116-(1/TAN('出力'!$T$132)-1/TAN(D116))*'出力'!$T$43)+(E116-(1/TAN('出力'!$T$132)-1/TAN(D116))*'出力'!$T$43)*'出力'!$T$39,2)</f>
        <v>195.81</v>
      </c>
      <c r="J116">
        <f>ROUND(F116+$C$2/2*SIN(D116)*SIN('出力'!$T$132)/SIN(D116-'出力'!$T$132)*E116^2,2)</f>
        <v>174.35</v>
      </c>
      <c r="K116">
        <f>D116-$E$3-'出力'!$T$130-$E$82</f>
        <v>0.5799552834662887</v>
      </c>
      <c r="L116">
        <f>D116-$E$3-'出力'!$T$131-$E$83</f>
        <v>0.11693705988362013</v>
      </c>
    </row>
    <row r="117" spans="2:12" ht="13.5">
      <c r="B117">
        <f t="shared" si="20"/>
        <v>56.82</v>
      </c>
      <c r="C117">
        <f t="shared" si="24"/>
        <v>66</v>
      </c>
      <c r="D117">
        <f t="shared" si="22"/>
        <v>1.1519173063162575</v>
      </c>
      <c r="E117">
        <f>ROUND('出力'!$T$139*TAN('出力'!$T$131)+('出力'!$T$138+'出力'!$T$139)/TAN(D117)+'出力'!$T$138*TAN('出力'!$T$130),2)</f>
        <v>0.95</v>
      </c>
      <c r="F117">
        <f>ROUND($C$2/2*((1/TAN(D117)+TAN('出力'!$T$131))*('出力'!$T$138+'出力'!$T$139)^2+(TAN('出力'!$T$130)-TAN('出力'!$T$131))*'出力'!$T$138^2),2)</f>
        <v>148.72</v>
      </c>
      <c r="G117">
        <f>IF('出力'!$T$43=0,H117,IF(D117&lt;=$C$80,I117,J117))</f>
        <v>158.22</v>
      </c>
      <c r="H117">
        <f>ROUND(F117+E117*'出力'!$T$39,2)</f>
        <v>158.22</v>
      </c>
      <c r="I117">
        <f>ROUND(F117+$C$2/2*(2*E117-(1/TAN('出力'!$T$132)-1/TAN(D117))*'出力'!$T$43)+(E117-(1/TAN('出力'!$T$132)-1/TAN(D117))*'出力'!$T$43)*'出力'!$T$39,2)</f>
        <v>177.22</v>
      </c>
      <c r="J117">
        <f>ROUND(F117+$C$2/2*SIN(D117)*SIN('出力'!$T$132)/SIN(D117-'出力'!$T$132)*E117^2,2)</f>
        <v>157.28</v>
      </c>
      <c r="K117">
        <f>D117-$E$3-'出力'!$T$130-$E$82</f>
        <v>0.597408575986232</v>
      </c>
      <c r="L117">
        <f>D117-$E$3-'出力'!$T$131-$E$83</f>
        <v>0.13439035240356345</v>
      </c>
    </row>
    <row r="118" spans="2:12" ht="13.5">
      <c r="B118">
        <f t="shared" si="20"/>
        <v>51.67</v>
      </c>
      <c r="C118">
        <f t="shared" si="24"/>
        <v>67</v>
      </c>
      <c r="D118">
        <f t="shared" si="22"/>
        <v>1.1693705988362006</v>
      </c>
      <c r="E118">
        <f>ROUND('出力'!$T$139*TAN('出力'!$T$131)+('出力'!$T$138+'出力'!$T$139)/TAN(D118)+'出力'!$T$138*TAN('出力'!$T$130),2)</f>
        <v>0.79</v>
      </c>
      <c r="F118">
        <f>ROUND($C$2/2*((1/TAN(D118)+TAN('出力'!$T$131))*('出力'!$T$138+'出力'!$T$139)^2+(TAN('出力'!$T$130)-TAN('出力'!$T$131))*'出力'!$T$138^2),2)</f>
        <v>135.44</v>
      </c>
      <c r="G118">
        <f>IF('出力'!$T$43=0,H118,IF(D118&lt;=$C$80,I118,J118))</f>
        <v>143.34</v>
      </c>
      <c r="H118">
        <f>ROUND(F118+E118*'出力'!$T$39,2)</f>
        <v>143.34</v>
      </c>
      <c r="I118">
        <f>ROUND(F118+$C$2/2*(2*E118-(1/TAN('出力'!$T$132)-1/TAN(D118))*'出力'!$T$43)+(E118-(1/TAN('出力'!$T$132)-1/TAN(D118))*'出力'!$T$43)*'出力'!$T$39,2)</f>
        <v>159.14</v>
      </c>
      <c r="J118">
        <f>ROUND(F118+$C$2/2*SIN(D118)*SIN('出力'!$T$132)/SIN(D118-'出力'!$T$132)*E118^2,2)</f>
        <v>141.24</v>
      </c>
      <c r="K118">
        <f>D118-$E$3-'出力'!$T$130-$E$82</f>
        <v>0.6148618685061751</v>
      </c>
      <c r="L118">
        <f>D118-$E$3-'出力'!$T$131-$E$83</f>
        <v>0.15184364492350655</v>
      </c>
    </row>
    <row r="119" spans="2:12" ht="13.5">
      <c r="B119">
        <f t="shared" si="20"/>
        <v>46.1</v>
      </c>
      <c r="C119">
        <f t="shared" si="24"/>
        <v>68</v>
      </c>
      <c r="D119">
        <f t="shared" si="22"/>
        <v>1.1868238913561442</v>
      </c>
      <c r="E119">
        <f>ROUND('出力'!$T$139*TAN('出力'!$T$131)+('出力'!$T$138+'出力'!$T$139)/TAN(D119)+'出力'!$T$138*TAN('出力'!$T$130),2)</f>
        <v>0.62</v>
      </c>
      <c r="F119">
        <f>ROUND($C$2/2*((1/TAN(D119)+TAN('出力'!$T$131))*('出力'!$T$138+'出力'!$T$139)^2+(TAN('出力'!$T$130)-TAN('出力'!$T$131))*'出力'!$T$138^2),2)</f>
        <v>122.35</v>
      </c>
      <c r="G119">
        <f>IF('出力'!$T$43=0,H119,IF(D119&lt;=$C$80,I119,J119))</f>
        <v>128.55</v>
      </c>
      <c r="H119">
        <f>ROUND(F119+E119*'出力'!$T$39,2)</f>
        <v>128.55</v>
      </c>
      <c r="I119">
        <f>ROUND(F119+$C$2/2*(2*E119-(1/TAN('出力'!$T$132)-1/TAN(D119))*'出力'!$T$43)+(E119-(1/TAN('出力'!$T$132)-1/TAN(D119))*'出力'!$T$43)*'出力'!$T$39,2)</f>
        <v>140.95</v>
      </c>
      <c r="J119">
        <f>ROUND(F119+$C$2/2*SIN(D119)*SIN('出力'!$T$132)/SIN(D119-'出力'!$T$132)*E119^2,2)</f>
        <v>125.86</v>
      </c>
      <c r="K119">
        <f>D119-$E$3-'出力'!$T$130-$E$82</f>
        <v>0.6323151610261186</v>
      </c>
      <c r="L119">
        <f>D119-$E$3-'出力'!$T$131-$E$83</f>
        <v>0.1692969374434501</v>
      </c>
    </row>
    <row r="120" spans="2:12" ht="13.5">
      <c r="B120">
        <f t="shared" si="20"/>
        <v>40.22</v>
      </c>
      <c r="C120">
        <f t="shared" si="24"/>
        <v>69</v>
      </c>
      <c r="D120">
        <f t="shared" si="22"/>
        <v>1.2042771838760873</v>
      </c>
      <c r="E120">
        <f>ROUND('出力'!$T$139*TAN('出力'!$T$131)+('出力'!$T$138+'出力'!$T$139)/TAN(D120)+'出力'!$T$138*TAN('出力'!$T$130),2)</f>
        <v>0.46</v>
      </c>
      <c r="F120">
        <f>ROUND($C$2/2*((1/TAN(D120)+TAN('出力'!$T$131))*('出力'!$T$138+'出力'!$T$139)^2+(TAN('出力'!$T$130)-TAN('出力'!$T$131))*'出力'!$T$138^2),2)</f>
        <v>109.45</v>
      </c>
      <c r="G120">
        <f>IF('出力'!$T$43=0,H120,IF(D120&lt;=$C$80,I120,J120))</f>
        <v>114.05</v>
      </c>
      <c r="H120">
        <f>ROUND(F120+E120*'出力'!$T$39,2)</f>
        <v>114.05</v>
      </c>
      <c r="I120">
        <f>ROUND(F120+$C$2/2*(2*E120-(1/TAN('出力'!$T$132)-1/TAN(D120))*'出力'!$T$43)+(E120-(1/TAN('出力'!$T$132)-1/TAN(D120))*'出力'!$T$43)*'出力'!$T$39,2)</f>
        <v>123.25</v>
      </c>
      <c r="J120">
        <f>ROUND(F120+$C$2/2*SIN(D120)*SIN('出力'!$T$132)/SIN(D120-'出力'!$T$132)*E120^2,2)</f>
        <v>111.35</v>
      </c>
      <c r="K120">
        <f>D120-$E$3-'出力'!$T$130-$E$82</f>
        <v>0.6497684535460617</v>
      </c>
      <c r="L120">
        <f>D120-$E$3-'出力'!$T$131-$E$83</f>
        <v>0.1867502299633932</v>
      </c>
    </row>
    <row r="121" spans="2:12" ht="13.5">
      <c r="B121">
        <f t="shared" si="20"/>
        <v>33.98</v>
      </c>
      <c r="C121">
        <f t="shared" si="24"/>
        <v>70</v>
      </c>
      <c r="D121">
        <f t="shared" si="22"/>
        <v>1.2217304763960306</v>
      </c>
      <c r="E121">
        <f>ROUND('出力'!$T$139*TAN('出力'!$T$131)+('出力'!$T$138+'出力'!$T$139)/TAN(D121)+'出力'!$T$138*TAN('出力'!$T$130),2)</f>
        <v>0.3</v>
      </c>
      <c r="F121">
        <f>ROUND($C$2/2*((1/TAN(D121)+TAN('出力'!$T$131))*('出力'!$T$138+'出力'!$T$139)^2+(TAN('出力'!$T$130)-TAN('出力'!$T$131))*'出力'!$T$138^2),2)</f>
        <v>96.72</v>
      </c>
      <c r="G121">
        <f>IF('出力'!$T$43=0,H121,IF(D121&lt;=$C$80,I121,J121))</f>
        <v>99.72</v>
      </c>
      <c r="H121">
        <f>ROUND(F121+E121*'出力'!$T$39,2)</f>
        <v>99.72</v>
      </c>
      <c r="I121">
        <f>ROUND(F121+$C$2/2*(2*E121-(1/TAN('出力'!$T$132)-1/TAN(D121))*'出力'!$T$43)+(E121-(1/TAN('出力'!$T$132)-1/TAN(D121))*'出力'!$T$43)*'出力'!$T$39,2)</f>
        <v>105.72</v>
      </c>
      <c r="J121">
        <f>ROUND(F121+$C$2/2*SIN(D121)*SIN('出力'!$T$132)/SIN(D121-'出力'!$T$132)*E121^2,2)</f>
        <v>97.51</v>
      </c>
      <c r="K121">
        <f>D121-$E$3-'出力'!$T$130-$E$82</f>
        <v>0.667221746066005</v>
      </c>
      <c r="L121">
        <f>D121-$E$3-'出力'!$T$131-$E$83</f>
        <v>0.2042035224833365</v>
      </c>
    </row>
    <row r="122" spans="2:12" ht="13.5">
      <c r="B122">
        <f t="shared" si="20"/>
        <v>27.35</v>
      </c>
      <c r="C122">
        <f t="shared" si="24"/>
        <v>71</v>
      </c>
      <c r="D122">
        <f t="shared" si="22"/>
        <v>1.239183768915974</v>
      </c>
      <c r="E122">
        <f>ROUND('出力'!$T$139*TAN('出力'!$T$131)+('出力'!$T$138+'出力'!$T$139)/TAN(D122)+'出力'!$T$138*TAN('出力'!$T$130),2)</f>
        <v>0.14</v>
      </c>
      <c r="F122">
        <f>ROUND($C$2/2*((1/TAN(D122)+TAN('出力'!$T$131))*('出力'!$T$138+'出力'!$T$139)^2+(TAN('出力'!$T$130)-TAN('出力'!$T$131))*'出力'!$T$138^2),2)</f>
        <v>84.14</v>
      </c>
      <c r="G122">
        <f>IF('出力'!$T$43=0,H122,IF(D122&lt;=$C$80,I122,J122))</f>
        <v>85.54</v>
      </c>
      <c r="H122">
        <f>ROUND(F122+E122*'出力'!$T$39,2)</f>
        <v>85.54</v>
      </c>
      <c r="I122">
        <f>ROUND(F122+$C$2/2*(2*E122-(1/TAN('出力'!$T$132)-1/TAN(D122))*'出力'!$T$43)+(E122-(1/TAN('出力'!$T$132)-1/TAN(D122))*'出力'!$T$43)*'出力'!$T$39,2)</f>
        <v>88.34</v>
      </c>
      <c r="J122">
        <f>ROUND(F122+$C$2/2*SIN(D122)*SIN('出力'!$T$132)/SIN(D122-'出力'!$T$132)*E122^2,2)</f>
        <v>84.31</v>
      </c>
      <c r="K122">
        <f>D122-$E$3-'出力'!$T$130-$E$82</f>
        <v>0.6846750385859484</v>
      </c>
      <c r="L122">
        <f>D122-$E$3-'出力'!$T$131-$E$83</f>
        <v>0.22165681500327983</v>
      </c>
    </row>
    <row r="123" spans="2:12" ht="13.5">
      <c r="B123">
        <f t="shared" si="20"/>
        <v>20.43</v>
      </c>
      <c r="C123">
        <f t="shared" si="24"/>
        <v>72</v>
      </c>
      <c r="D123">
        <f t="shared" si="22"/>
        <v>1.2566370614359172</v>
      </c>
      <c r="E123">
        <f>ROUND('出力'!$T$139*TAN('出力'!$T$131)+('出力'!$T$138+'出力'!$T$139)/TAN(D123)+'出力'!$T$138*TAN('出力'!$T$130),2)</f>
        <v>-0.01</v>
      </c>
      <c r="F123">
        <f>ROUND($C$2/2*((1/TAN(D123)+TAN('出力'!$T$131))*('出力'!$T$138+'出力'!$T$139)^2+(TAN('出力'!$T$130)-TAN('出力'!$T$131))*'出力'!$T$138^2),2)</f>
        <v>71.72</v>
      </c>
      <c r="G123">
        <f>IF('出力'!$T$43=0,H123,IF(D123&lt;=$C$80,I123,J123))</f>
        <v>71.62</v>
      </c>
      <c r="H123">
        <f>ROUND(F123+E123*'出力'!$T$39,2)</f>
        <v>71.62</v>
      </c>
      <c r="I123">
        <f>ROUND(F123+$C$2/2*(2*E123-(1/TAN('出力'!$T$132)-1/TAN(D123))*'出力'!$T$43)+(E123-(1/TAN('出力'!$T$132)-1/TAN(D123))*'出力'!$T$43)*'出力'!$T$39,2)</f>
        <v>71.42</v>
      </c>
      <c r="J123">
        <f>ROUND(F123+$C$2/2*SIN(D123)*SIN('出力'!$T$132)/SIN(D123-'出力'!$T$132)*E123^2,2)</f>
        <v>71.72</v>
      </c>
      <c r="K123">
        <f>D123-$E$3-'出力'!$T$130-$E$82</f>
        <v>0.7021283311058917</v>
      </c>
      <c r="L123">
        <f>D123-$E$3-'出力'!$T$131-$E$83</f>
        <v>0.23911010752322315</v>
      </c>
    </row>
    <row r="124" spans="2:12" ht="13.5">
      <c r="B124">
        <f t="shared" si="20"/>
        <v>13.13</v>
      </c>
      <c r="C124">
        <f t="shared" si="24"/>
        <v>73</v>
      </c>
      <c r="D124">
        <f t="shared" si="22"/>
        <v>1.2740903539558606</v>
      </c>
      <c r="E124">
        <f>ROUND('出力'!$T$139*TAN('出力'!$T$131)+('出力'!$T$138+'出力'!$T$139)/TAN(D124)+'出力'!$T$138*TAN('出力'!$T$130),2)</f>
        <v>-0.16</v>
      </c>
      <c r="F124">
        <f>ROUND($C$2/2*((1/TAN(D124)+TAN('出力'!$T$131))*('出力'!$T$138+'出力'!$T$139)^2+(TAN('出力'!$T$130)-TAN('出力'!$T$131))*'出力'!$T$138^2),2)</f>
        <v>59.44</v>
      </c>
      <c r="G124">
        <f>IF('出力'!$T$43=0,H124,IF(D124&lt;=$C$80,I124,J124))</f>
        <v>57.84</v>
      </c>
      <c r="H124">
        <f>ROUND(F124+E124*'出力'!$T$39,2)</f>
        <v>57.84</v>
      </c>
      <c r="I124">
        <f>ROUND(F124+$C$2/2*(2*E124-(1/TAN('出力'!$T$132)-1/TAN(D124))*'出力'!$T$43)+(E124-(1/TAN('出力'!$T$132)-1/TAN(D124))*'出力'!$T$43)*'出力'!$T$39,2)</f>
        <v>54.64</v>
      </c>
      <c r="J124">
        <f>ROUND(F124+$C$2/2*SIN(D124)*SIN('出力'!$T$132)/SIN(D124-'出力'!$T$132)*E124^2,2)</f>
        <v>59.65</v>
      </c>
      <c r="K124">
        <f>D124-$E$3-'出力'!$T$130-$E$82</f>
        <v>0.719581623625835</v>
      </c>
      <c r="L124">
        <f>D124-$E$3-'出力'!$T$131-$E$83</f>
        <v>0.25656340004316647</v>
      </c>
    </row>
    <row r="125" spans="2:12" ht="13.5">
      <c r="B125">
        <f t="shared" si="20"/>
        <v>5.39</v>
      </c>
      <c r="C125">
        <f t="shared" si="24"/>
        <v>74</v>
      </c>
      <c r="D125">
        <f t="shared" si="22"/>
        <v>1.2915436464758039</v>
      </c>
      <c r="E125">
        <f>ROUND('出力'!$T$139*TAN('出力'!$T$131)+('出力'!$T$138+'出力'!$T$139)/TAN(D125)+'出力'!$T$138*TAN('出力'!$T$130),2)</f>
        <v>-0.32</v>
      </c>
      <c r="F125">
        <f>ROUND($C$2/2*((1/TAN(D125)+TAN('出力'!$T$131))*('出力'!$T$138+'出力'!$T$139)^2+(TAN('出力'!$T$130)-TAN('出力'!$T$131))*'出力'!$T$138^2),2)</f>
        <v>47.29</v>
      </c>
      <c r="G125">
        <f>IF('出力'!$T$43=0,H125,IF(D125&lt;=$C$80,I125,J125))</f>
        <v>44.09</v>
      </c>
      <c r="H125">
        <f>ROUND(F125+E125*'出力'!$T$39,2)</f>
        <v>44.09</v>
      </c>
      <c r="I125">
        <f>ROUND(F125+$C$2/2*(2*E125-(1/TAN('出力'!$T$132)-1/TAN(D125))*'出力'!$T$43)+(E125-(1/TAN('出力'!$T$132)-1/TAN(D125))*'出力'!$T$43)*'出力'!$T$39,2)</f>
        <v>37.69</v>
      </c>
      <c r="J125">
        <f>ROUND(F125+$C$2/2*SIN(D125)*SIN('出力'!$T$132)/SIN(D125-'出力'!$T$132)*E125^2,2)</f>
        <v>48.13</v>
      </c>
      <c r="K125">
        <f>D125-$E$3-'出力'!$T$130-$E$82</f>
        <v>0.7370349161457783</v>
      </c>
      <c r="L125">
        <f>D125-$E$3-'出力'!$T$131-$E$83</f>
        <v>0.2740166925631098</v>
      </c>
    </row>
    <row r="126" spans="2:18" ht="13.5">
      <c r="B126">
        <f t="shared" si="20"/>
        <v>-2.66</v>
      </c>
      <c r="C126">
        <f t="shared" si="24"/>
        <v>75</v>
      </c>
      <c r="D126">
        <f t="shared" si="22"/>
        <v>1.3089969389957472</v>
      </c>
      <c r="E126">
        <f>ROUND('出力'!$T$139*TAN('出力'!$T$131)+('出力'!$T$138+'出力'!$T$139)/TAN(D126)+'出力'!$T$138*TAN('出力'!$T$130),2)</f>
        <v>-0.47</v>
      </c>
      <c r="F126">
        <f>ROUND($C$2/2*((1/TAN(D126)+TAN('出力'!$T$131))*('出力'!$T$138+'出力'!$T$139)^2+(TAN('出力'!$T$130)-TAN('出力'!$T$131))*'出力'!$T$138^2),2)</f>
        <v>35.26</v>
      </c>
      <c r="G126">
        <f>IF('出力'!$T$43=0,H126,IF(D126&lt;=$C$80,I126,J126))</f>
        <v>30.56</v>
      </c>
      <c r="H126">
        <f>ROUND(F126+E126*'出力'!$T$39,2)</f>
        <v>30.56</v>
      </c>
      <c r="I126">
        <f>ROUND(F126+$C$2/2*(2*E126-(1/TAN('出力'!$T$132)-1/TAN(D126))*'出力'!$T$43)+(E126-(1/TAN('出力'!$T$132)-1/TAN(D126))*'出力'!$T$43)*'出力'!$T$39,2)</f>
        <v>21.16</v>
      </c>
      <c r="J126">
        <f>ROUND(F126+$C$2/2*SIN(D126)*SIN('出力'!$T$132)/SIN(D126-'出力'!$T$132)*E126^2,2)</f>
        <v>37.05</v>
      </c>
      <c r="K126">
        <f>D126-$E$3-'出力'!$T$130-$E$82</f>
        <v>0.7544882086657216</v>
      </c>
      <c r="L126">
        <f>D126-$E$3-'出力'!$T$131-$E$83</f>
        <v>0.2914699850830531</v>
      </c>
      <c r="N126" s="67"/>
      <c r="O126" s="67"/>
      <c r="P126" s="67"/>
      <c r="Q126" s="67"/>
      <c r="R126" s="67"/>
    </row>
    <row r="127" spans="1:18" s="2" customFormat="1" ht="13.5">
      <c r="A127"/>
      <c r="B127">
        <f t="shared" si="20"/>
        <v>-11.11</v>
      </c>
      <c r="C127">
        <f>C126+1</f>
        <v>76</v>
      </c>
      <c r="D127">
        <f>C127*PI()/180</f>
        <v>1.3264502315156903</v>
      </c>
      <c r="E127">
        <f>ROUND('出力'!$T$139*TAN('出力'!$T$131)+('出力'!$T$138+'出力'!$T$139)/TAN(D127)+'出力'!$T$138*TAN('出力'!$T$130),2)</f>
        <v>-0.62</v>
      </c>
      <c r="F127">
        <f>ROUND($C$2/2*((1/TAN(D127)+TAN('出力'!$T$131))*('出力'!$T$138+'出力'!$T$139)^2+(TAN('出力'!$T$130)-TAN('出力'!$T$131))*'出力'!$T$138^2),2)</f>
        <v>23.34</v>
      </c>
      <c r="G127">
        <f>IF('出力'!$T$43=0,H127,IF(D127&lt;=$C$80,I127,J127))</f>
        <v>17.14</v>
      </c>
      <c r="H127">
        <f>ROUND(F127+E127*'出力'!$T$39,2)</f>
        <v>17.14</v>
      </c>
      <c r="I127">
        <f>ROUND(F127+$C$2/2*(2*E127-(1/TAN('出力'!$T$132)-1/TAN(D127))*'出力'!$T$43)+(E127-(1/TAN('出力'!$T$132)-1/TAN(D127))*'出力'!$T$43)*'出力'!$T$39,2)</f>
        <v>4.74</v>
      </c>
      <c r="J127">
        <f>ROUND(F127+$C$2/2*SIN(D127)*SIN('出力'!$T$132)/SIN(D127-'出力'!$T$132)*E127^2,2)</f>
        <v>26.41</v>
      </c>
      <c r="K127">
        <f>D127-$E$3-'出力'!$T$130-$E$82</f>
        <v>0.7719415011856647</v>
      </c>
      <c r="L127">
        <f>D127-$E$3-'出力'!$T$131-$E$83</f>
        <v>0.3089232776029962</v>
      </c>
      <c r="M127"/>
      <c r="N127" s="67"/>
      <c r="O127" s="67"/>
      <c r="P127" s="67"/>
      <c r="Q127" s="67"/>
      <c r="R127" s="67"/>
    </row>
    <row r="128" spans="2:18" ht="13.5">
      <c r="B128">
        <f t="shared" si="20"/>
        <v>-19.87</v>
      </c>
      <c r="C128">
        <f>C127+1</f>
        <v>77</v>
      </c>
      <c r="D128">
        <f>C128*PI()/180</f>
        <v>1.3439035240356338</v>
      </c>
      <c r="E128">
        <f>ROUND('出力'!$T$139*TAN('出力'!$T$131)+('出力'!$T$138+'出力'!$T$139)/TAN(D128)+'出力'!$T$138*TAN('出力'!$T$130),2)</f>
        <v>-0.76</v>
      </c>
      <c r="F128">
        <f>ROUND($C$2/2*((1/TAN(D128)+TAN('出力'!$T$131))*('出力'!$T$138+'出力'!$T$139)^2+(TAN('出力'!$T$130)-TAN('出力'!$T$131))*'出力'!$T$138^2),2)</f>
        <v>11.53</v>
      </c>
      <c r="G128">
        <f>IF('出力'!$T$43=0,H128,IF(D128&lt;=$C$80,I128,J128))</f>
        <v>3.93</v>
      </c>
      <c r="H128">
        <f>ROUND(F128+E128*'出力'!$T$39,2)</f>
        <v>3.93</v>
      </c>
      <c r="I128">
        <f>ROUND(F128+$C$2/2*(2*E128-(1/TAN('出力'!$T$132)-1/TAN(D128))*'出力'!$T$43)+(E128-(1/TAN('出力'!$T$132)-1/TAN(D128))*'出力'!$T$43)*'出力'!$T$39,2)</f>
        <v>-11.27</v>
      </c>
      <c r="J128">
        <f>ROUND(F128+$C$2/2*SIN(D128)*SIN('出力'!$T$132)/SIN(D128-'出力'!$T$132)*E128^2,2)</f>
        <v>16.08</v>
      </c>
      <c r="K128">
        <f>D128-$E$3-'出力'!$T$130-$E$82</f>
        <v>0.7893947937056083</v>
      </c>
      <c r="L128">
        <f>D128-$E$3-'出力'!$T$131-$E$83</f>
        <v>0.32637657012293975</v>
      </c>
      <c r="N128" s="67"/>
      <c r="O128" s="67"/>
      <c r="P128" s="67"/>
      <c r="Q128" s="67"/>
      <c r="R128" s="67"/>
    </row>
    <row r="129" spans="2:18" ht="13.5">
      <c r="B129">
        <f t="shared" si="20"/>
        <v>-29.11</v>
      </c>
      <c r="C129">
        <f aca="true" t="shared" si="25" ref="C129:C139">C128+1</f>
        <v>78</v>
      </c>
      <c r="D129">
        <f aca="true" t="shared" si="26" ref="D129:D139">C129*PI()/180</f>
        <v>1.361356816555577</v>
      </c>
      <c r="E129">
        <f>ROUND('出力'!$T$139*TAN('出力'!$T$131)+('出力'!$T$138+'出力'!$T$139)/TAN(D129)+'出力'!$T$138*TAN('出力'!$T$130),2)</f>
        <v>-0.91</v>
      </c>
      <c r="F129">
        <f>ROUND($C$2/2*((1/TAN(D129)+TAN('出力'!$T$131))*('出力'!$T$138+'出力'!$T$139)^2+(TAN('出力'!$T$130)-TAN('出力'!$T$131))*'出力'!$T$138^2),2)</f>
        <v>-0.19</v>
      </c>
      <c r="G129">
        <f>IF('出力'!$T$43=0,H129,IF(D129&lt;=$C$80,I129,J129))</f>
        <v>-9.29</v>
      </c>
      <c r="H129">
        <f>ROUND(F129+E129*'出力'!$T$39,2)</f>
        <v>-9.29</v>
      </c>
      <c r="I129">
        <f>ROUND(F129+$C$2/2*(2*E129-(1/TAN('出力'!$T$132)-1/TAN(D129))*'出力'!$T$43)+(E129-(1/TAN('出力'!$T$132)-1/TAN(D129))*'出力'!$T$43)*'出力'!$T$39,2)</f>
        <v>-27.49</v>
      </c>
      <c r="J129">
        <f>ROUND(F129+$C$2/2*SIN(D129)*SIN('出力'!$T$132)/SIN(D129-'出力'!$T$132)*E129^2,2)</f>
        <v>6.24</v>
      </c>
      <c r="K129">
        <f>D129-$E$3-'出力'!$T$130-$E$82</f>
        <v>0.8068480862255514</v>
      </c>
      <c r="L129">
        <f>D129-$E$3-'出力'!$T$131-$E$83</f>
        <v>0.34382986264288284</v>
      </c>
      <c r="N129" s="67"/>
      <c r="O129" s="67"/>
      <c r="P129" s="67"/>
      <c r="Q129" s="67"/>
      <c r="R129" s="67"/>
    </row>
    <row r="130" spans="2:18" ht="13.5">
      <c r="B130">
        <f t="shared" si="20"/>
        <v>-38.69</v>
      </c>
      <c r="C130">
        <f t="shared" si="25"/>
        <v>79</v>
      </c>
      <c r="D130">
        <f t="shared" si="26"/>
        <v>1.3788101090755203</v>
      </c>
      <c r="E130">
        <f>ROUND('出力'!$T$139*TAN('出力'!$T$131)+('出力'!$T$138+'出力'!$T$139)/TAN(D130)+'出力'!$T$138*TAN('出力'!$T$130),2)</f>
        <v>-1.05</v>
      </c>
      <c r="F130">
        <f>ROUND($C$2/2*((1/TAN(D130)+TAN('出力'!$T$131))*('出力'!$T$138+'出力'!$T$139)^2+(TAN('出力'!$T$130)-TAN('出力'!$T$131))*'出力'!$T$138^2),2)</f>
        <v>-11.82</v>
      </c>
      <c r="G130">
        <f>IF('出力'!$T$43=0,H130,IF(D130&lt;=$C$80,I130,J130))</f>
        <v>-22.32</v>
      </c>
      <c r="H130">
        <f>ROUND(F130+E130*'出力'!$T$39,2)</f>
        <v>-22.32</v>
      </c>
      <c r="I130">
        <f>ROUND(F130+$C$2/2*(2*E130-(1/TAN('出力'!$T$132)-1/TAN(D130))*'出力'!$T$43)+(E130-(1/TAN('出力'!$T$132)-1/TAN(D130))*'出力'!$T$43)*'出力'!$T$39,2)</f>
        <v>-43.32</v>
      </c>
      <c r="J130">
        <f>ROUND(F130+$C$2/2*SIN(D130)*SIN('出力'!$T$132)/SIN(D130-'出力'!$T$132)*E130^2,2)</f>
        <v>-3.38</v>
      </c>
      <c r="K130">
        <f>D130-$E$3-'出力'!$T$130-$E$82</f>
        <v>0.8243013787454947</v>
      </c>
      <c r="L130">
        <f>D130-$E$3-'出力'!$T$131-$E$83</f>
        <v>0.36128315516282616</v>
      </c>
      <c r="N130" s="67"/>
      <c r="O130" s="67"/>
      <c r="P130" s="67"/>
      <c r="Q130" s="67"/>
      <c r="R130" s="67"/>
    </row>
    <row r="131" spans="2:18" ht="13.5">
      <c r="B131">
        <f t="shared" si="20"/>
        <v>-48.76</v>
      </c>
      <c r="C131">
        <f t="shared" si="25"/>
        <v>80</v>
      </c>
      <c r="D131">
        <f t="shared" si="26"/>
        <v>1.3962634015954636</v>
      </c>
      <c r="E131">
        <f>ROUND('出力'!$T$139*TAN('出力'!$T$131)+('出力'!$T$138+'出力'!$T$139)/TAN(D131)+'出力'!$T$138*TAN('出力'!$T$130),2)</f>
        <v>-1.2</v>
      </c>
      <c r="F131">
        <f>ROUND($C$2/2*((1/TAN(D131)+TAN('出力'!$T$131))*('出力'!$T$138+'出力'!$T$139)^2+(TAN('出力'!$T$130)-TAN('出力'!$T$131))*'出力'!$T$138^2),2)</f>
        <v>-23.38</v>
      </c>
      <c r="G131">
        <f>IF('出力'!$T$43=0,H131,IF(D131&lt;=$C$80,I131,J131))</f>
        <v>-35.38</v>
      </c>
      <c r="H131">
        <f>ROUND(F131+E131*'出力'!$T$39,2)</f>
        <v>-35.38</v>
      </c>
      <c r="I131">
        <f>ROUND(F131+$C$2/2*(2*E131-(1/TAN('出力'!$T$132)-1/TAN(D131))*'出力'!$T$43)+(E131-(1/TAN('出力'!$T$132)-1/TAN(D131))*'出力'!$T$43)*'出力'!$T$39,2)</f>
        <v>-59.38</v>
      </c>
      <c r="J131">
        <f>ROUND(F131+$C$2/2*SIN(D131)*SIN('出力'!$T$132)/SIN(D131-'出力'!$T$132)*E131^2,2)</f>
        <v>-12.5</v>
      </c>
      <c r="K131">
        <f>D131-$E$3-'出力'!$T$130-$E$82</f>
        <v>0.841754671265438</v>
      </c>
      <c r="L131">
        <f>D131-$E$3-'出力'!$T$131-$E$83</f>
        <v>0.3787364476827695</v>
      </c>
      <c r="N131" s="68"/>
      <c r="O131" s="68"/>
      <c r="P131" s="68"/>
      <c r="Q131" s="68"/>
      <c r="R131" s="67"/>
    </row>
    <row r="132" spans="2:18" ht="13.5">
      <c r="B132">
        <f t="shared" si="20"/>
        <v>-59.19</v>
      </c>
      <c r="C132">
        <f t="shared" si="25"/>
        <v>81</v>
      </c>
      <c r="D132">
        <f t="shared" si="26"/>
        <v>1.413716694115407</v>
      </c>
      <c r="E132">
        <f>ROUND('出力'!$T$139*TAN('出力'!$T$131)+('出力'!$T$138+'出力'!$T$139)/TAN(D132)+'出力'!$T$138*TAN('出力'!$T$130),2)</f>
        <v>-1.34</v>
      </c>
      <c r="F132">
        <f>ROUND($C$2/2*((1/TAN(D132)+TAN('出力'!$T$131))*('出力'!$T$138+'出力'!$T$139)^2+(TAN('出力'!$T$130)-TAN('出力'!$T$131))*'出力'!$T$138^2),2)</f>
        <v>-34.86</v>
      </c>
      <c r="G132">
        <f>IF('出力'!$T$43=0,H132,IF(D132&lt;=$C$80,I132,J132))</f>
        <v>-48.26</v>
      </c>
      <c r="H132">
        <f>ROUND(F132+E132*'出力'!$T$39,2)</f>
        <v>-48.26</v>
      </c>
      <c r="I132">
        <f>ROUND(F132+$C$2/2*(2*E132-(1/TAN('出力'!$T$132)-1/TAN(D132))*'出力'!$T$43)+(E132-(1/TAN('出力'!$T$132)-1/TAN(D132))*'出力'!$T$43)*'出力'!$T$39,2)</f>
        <v>-75.06</v>
      </c>
      <c r="J132">
        <f>ROUND(F132+$C$2/2*SIN(D132)*SIN('出力'!$T$132)/SIN(D132-'出力'!$T$132)*E132^2,2)</f>
        <v>-21.48</v>
      </c>
      <c r="K132">
        <f>D132-$E$3-'出力'!$T$130-$E$82</f>
        <v>0.8592079637853813</v>
      </c>
      <c r="L132">
        <f>D132-$E$3-'出力'!$T$131-$E$83</f>
        <v>0.3961897402027128</v>
      </c>
      <c r="N132" s="50"/>
      <c r="O132" s="50"/>
      <c r="P132" s="50"/>
      <c r="Q132" s="50"/>
      <c r="R132" s="67"/>
    </row>
    <row r="133" spans="2:18" ht="13.5">
      <c r="B133">
        <f t="shared" si="20"/>
        <v>-70.15</v>
      </c>
      <c r="C133">
        <f t="shared" si="25"/>
        <v>82</v>
      </c>
      <c r="D133">
        <f t="shared" si="26"/>
        <v>1.43116998663535</v>
      </c>
      <c r="E133">
        <f>ROUND('出力'!$T$139*TAN('出力'!$T$131)+('出力'!$T$138+'出力'!$T$139)/TAN(D133)+'出力'!$T$138*TAN('出力'!$T$130),2)</f>
        <v>-1.49</v>
      </c>
      <c r="F133">
        <f>ROUND($C$2/2*((1/TAN(D133)+TAN('出力'!$T$131))*('出力'!$T$138+'出力'!$T$139)^2+(TAN('出力'!$T$130)-TAN('出力'!$T$131))*'出力'!$T$138^2),2)</f>
        <v>-46.28</v>
      </c>
      <c r="G133">
        <f>IF('出力'!$T$43=0,H133,IF(D133&lt;=$C$80,I133,J133))</f>
        <v>-61.18</v>
      </c>
      <c r="H133">
        <f>ROUND(F133+E133*'出力'!$T$39,2)</f>
        <v>-61.18</v>
      </c>
      <c r="I133">
        <f>ROUND(F133+$C$2/2*(2*E133-(1/TAN('出力'!$T$132)-1/TAN(D133))*'出力'!$T$43)+(E133-(1/TAN('出力'!$T$132)-1/TAN(D133))*'出力'!$T$43)*'出力'!$T$39,2)</f>
        <v>-90.98</v>
      </c>
      <c r="J133">
        <f>ROUND(F133+$C$2/2*SIN(D133)*SIN('出力'!$T$132)/SIN(D133-'出力'!$T$132)*E133^2,2)</f>
        <v>-29.95</v>
      </c>
      <c r="K133">
        <f>D133-$E$3-'出力'!$T$130-$E$82</f>
        <v>0.8766612563053244</v>
      </c>
      <c r="L133">
        <f>D133-$E$3-'出力'!$T$131-$E$83</f>
        <v>0.4136430327226559</v>
      </c>
      <c r="N133" s="67"/>
      <c r="O133" s="67"/>
      <c r="P133" s="67"/>
      <c r="Q133" s="67"/>
      <c r="R133" s="67"/>
    </row>
    <row r="134" spans="2:18" ht="13.5">
      <c r="B134">
        <f t="shared" si="20"/>
        <v>-81.48</v>
      </c>
      <c r="C134">
        <f t="shared" si="25"/>
        <v>83</v>
      </c>
      <c r="D134">
        <f t="shared" si="26"/>
        <v>1.4486232791552935</v>
      </c>
      <c r="E134">
        <f>ROUND('出力'!$T$139*TAN('出力'!$T$131)+('出力'!$T$138+'出力'!$T$139)/TAN(D134)+'出力'!$T$138*TAN('出力'!$T$130),2)</f>
        <v>-1.63</v>
      </c>
      <c r="F134">
        <f>ROUND($C$2/2*((1/TAN(D134)+TAN('出力'!$T$131))*('出力'!$T$138+'出力'!$T$139)^2+(TAN('出力'!$T$130)-TAN('出力'!$T$131))*'出力'!$T$138^2),2)</f>
        <v>-57.64</v>
      </c>
      <c r="G134">
        <f>IF('出力'!$T$43=0,H134,IF(D134&lt;=$C$80,I134,J134))</f>
        <v>-73.94</v>
      </c>
      <c r="H134">
        <f>ROUND(F134+E134*'出力'!$T$39,2)</f>
        <v>-73.94</v>
      </c>
      <c r="I134">
        <f>ROUND(F134+$C$2/2*(2*E134-(1/TAN('出力'!$T$132)-1/TAN(D134))*'出力'!$T$43)+(E134-(1/TAN('出力'!$T$132)-1/TAN(D134))*'出力'!$T$43)*'出力'!$T$39,2)</f>
        <v>-106.54</v>
      </c>
      <c r="J134">
        <f>ROUND(F134+$C$2/2*SIN(D134)*SIN('出力'!$T$132)/SIN(D134-'出力'!$T$132)*E134^2,2)</f>
        <v>-38.35</v>
      </c>
      <c r="K134">
        <f>D134-$E$3-'出力'!$T$130-$E$82</f>
        <v>0.894114548825268</v>
      </c>
      <c r="L134">
        <f>D134-$E$3-'出力'!$T$131-$E$83</f>
        <v>0.43109632524259944</v>
      </c>
      <c r="N134" s="67"/>
      <c r="O134" s="67"/>
      <c r="P134" s="67"/>
      <c r="Q134" s="67"/>
      <c r="R134" s="67"/>
    </row>
    <row r="135" spans="2:18" ht="13.5">
      <c r="B135">
        <f t="shared" si="20"/>
        <v>-93.29</v>
      </c>
      <c r="C135">
        <f t="shared" si="25"/>
        <v>84</v>
      </c>
      <c r="D135">
        <f t="shared" si="26"/>
        <v>1.4660765716752369</v>
      </c>
      <c r="E135">
        <f>ROUND('出力'!$T$139*TAN('出力'!$T$131)+('出力'!$T$138+'出力'!$T$139)/TAN(D135)+'出力'!$T$138*TAN('出力'!$T$130),2)</f>
        <v>-1.77</v>
      </c>
      <c r="F135">
        <f>ROUND($C$2/2*((1/TAN(D135)+TAN('出力'!$T$131))*('出力'!$T$138+'出力'!$T$139)^2+(TAN('出力'!$T$130)-TAN('出力'!$T$131))*'出力'!$T$138^2),2)</f>
        <v>-68.96</v>
      </c>
      <c r="G135">
        <f>IF('出力'!$T$43=0,H135,IF(D135&lt;=$C$80,I135,J135))</f>
        <v>-86.66</v>
      </c>
      <c r="H135">
        <f>ROUND(F135+E135*'出力'!$T$39,2)</f>
        <v>-86.66</v>
      </c>
      <c r="I135">
        <f>ROUND(F135+$C$2/2*(2*E135-(1/TAN('出力'!$T$132)-1/TAN(D135))*'出力'!$T$43)+(E135-(1/TAN('出力'!$T$132)-1/TAN(D135))*'出力'!$T$43)*'出力'!$T$39,2)</f>
        <v>-122.06</v>
      </c>
      <c r="J135">
        <f>ROUND(F135+$C$2/2*SIN(D135)*SIN('出力'!$T$132)/SIN(D135-'出力'!$T$132)*E135^2,2)</f>
        <v>-46.5</v>
      </c>
      <c r="K135">
        <f>D135-$E$3-'出力'!$T$130-$E$82</f>
        <v>0.9115678413452113</v>
      </c>
      <c r="L135">
        <f>D135-$E$3-'出力'!$T$131-$E$83</f>
        <v>0.44854961776254276</v>
      </c>
      <c r="N135" s="67"/>
      <c r="O135" s="67"/>
      <c r="P135" s="67"/>
      <c r="Q135" s="67"/>
      <c r="R135" s="67"/>
    </row>
    <row r="136" spans="2:18" ht="13.5">
      <c r="B136">
        <f t="shared" si="20"/>
        <v>-105.58</v>
      </c>
      <c r="C136">
        <f t="shared" si="25"/>
        <v>85</v>
      </c>
      <c r="D136">
        <f t="shared" si="26"/>
        <v>1.4835298641951802</v>
      </c>
      <c r="E136">
        <f>ROUND('出力'!$T$139*TAN('出力'!$T$131)+('出力'!$T$138+'出力'!$T$139)/TAN(D136)+'出力'!$T$138*TAN('出力'!$T$130),2)</f>
        <v>-1.91</v>
      </c>
      <c r="F136">
        <f>ROUND($C$2/2*((1/TAN(D136)+TAN('出力'!$T$131))*('出力'!$T$138+'出力'!$T$139)^2+(TAN('出力'!$T$130)-TAN('出力'!$T$131))*'出力'!$T$138^2),2)</f>
        <v>-80.23</v>
      </c>
      <c r="G136">
        <f>IF('出力'!$T$43=0,H136,IF(D136&lt;=$C$80,I136,J136))</f>
        <v>-99.33</v>
      </c>
      <c r="H136">
        <f>ROUND(F136+E136*'出力'!$T$39,2)</f>
        <v>-99.33</v>
      </c>
      <c r="I136">
        <f>ROUND(F136+$C$2/2*(2*E136-(1/TAN('出力'!$T$132)-1/TAN(D136))*'出力'!$T$43)+(E136-(1/TAN('出力'!$T$132)-1/TAN(D136))*'出力'!$T$43)*'出力'!$T$39,2)</f>
        <v>-137.53</v>
      </c>
      <c r="J136">
        <f>ROUND(F136+$C$2/2*SIN(D136)*SIN('出力'!$T$132)/SIN(D136-'出力'!$T$132)*E136^2,2)</f>
        <v>-54.4</v>
      </c>
      <c r="K136">
        <f>D136-$E$3-'出力'!$T$130-$E$82</f>
        <v>0.9290211338651546</v>
      </c>
      <c r="L136">
        <f>D136-$E$3-'出力'!$T$131-$E$83</f>
        <v>0.4660029102824861</v>
      </c>
      <c r="N136" s="67"/>
      <c r="O136" s="67"/>
      <c r="P136" s="67"/>
      <c r="Q136" s="67"/>
      <c r="R136" s="67"/>
    </row>
    <row r="137" spans="2:18" ht="13.5">
      <c r="B137">
        <f t="shared" si="20"/>
        <v>-118.39</v>
      </c>
      <c r="C137">
        <f t="shared" si="25"/>
        <v>86</v>
      </c>
      <c r="D137">
        <f t="shared" si="26"/>
        <v>1.5009831567151233</v>
      </c>
      <c r="E137">
        <f>ROUND('出力'!$T$139*TAN('出力'!$T$131)+('出力'!$T$138+'出力'!$T$139)/TAN(D137)+'出力'!$T$138*TAN('出力'!$T$130),2)</f>
        <v>-2.05</v>
      </c>
      <c r="F137">
        <f>ROUND($C$2/2*((1/TAN(D137)+TAN('出力'!$T$131))*('出力'!$T$138+'出力'!$T$139)^2+(TAN('出力'!$T$130)-TAN('出力'!$T$131))*'出力'!$T$138^2),2)</f>
        <v>-91.47</v>
      </c>
      <c r="G137">
        <f>IF('出力'!$T$43=0,H137,IF(D137&lt;=$C$80,I137,J137))</f>
        <v>-111.97</v>
      </c>
      <c r="H137">
        <f>ROUND(F137+E137*'出力'!$T$39,2)</f>
        <v>-111.97</v>
      </c>
      <c r="I137">
        <f>ROUND(F137+$C$2/2*(2*E137-(1/TAN('出力'!$T$132)-1/TAN(D137))*'出力'!$T$43)+(E137-(1/TAN('出力'!$T$132)-1/TAN(D137))*'出力'!$T$43)*'出力'!$T$39,2)</f>
        <v>-152.97</v>
      </c>
      <c r="J137">
        <f>ROUND(F137+$C$2/2*SIN(D137)*SIN('出力'!$T$132)/SIN(D137-'出力'!$T$132)*E137^2,2)</f>
        <v>-62.08</v>
      </c>
      <c r="K137">
        <f>D137-$E$3-'出力'!$T$130-$E$82</f>
        <v>0.9464744263850977</v>
      </c>
      <c r="L137">
        <f>D137-$E$3-'出力'!$T$131-$E$83</f>
        <v>0.4834562028024292</v>
      </c>
      <c r="N137" s="67"/>
      <c r="O137" s="67"/>
      <c r="P137" s="67"/>
      <c r="Q137" s="67"/>
      <c r="R137" s="67"/>
    </row>
    <row r="138" spans="2:12" ht="13.5">
      <c r="B138">
        <f t="shared" si="20"/>
        <v>-131.72</v>
      </c>
      <c r="C138">
        <f t="shared" si="25"/>
        <v>87</v>
      </c>
      <c r="D138">
        <f t="shared" si="26"/>
        <v>1.5184364492350666</v>
      </c>
      <c r="E138">
        <f>ROUND('出力'!$T$139*TAN('出力'!$T$131)+('出力'!$T$138+'出力'!$T$139)/TAN(D138)+'出力'!$T$138*TAN('出力'!$T$130),2)</f>
        <v>-2.19</v>
      </c>
      <c r="F138">
        <f>ROUND($C$2/2*((1/TAN(D138)+TAN('出力'!$T$131))*('出力'!$T$138+'出力'!$T$139)^2+(TAN('出力'!$T$130)-TAN('出力'!$T$131))*'出力'!$T$138^2),2)</f>
        <v>-102.68</v>
      </c>
      <c r="G138">
        <f>IF('出力'!$T$43=0,H138,IF(D138&lt;=$C$80,I138,J138))</f>
        <v>-124.58</v>
      </c>
      <c r="H138">
        <f>ROUND(F138+E138*'出力'!$T$39,2)</f>
        <v>-124.58</v>
      </c>
      <c r="I138">
        <f>ROUND(F138+$C$2/2*(2*E138-(1/TAN('出力'!$T$132)-1/TAN(D138))*'出力'!$T$43)+(E138-(1/TAN('出力'!$T$132)-1/TAN(D138))*'出力'!$T$43)*'出力'!$T$39,2)</f>
        <v>-168.38</v>
      </c>
      <c r="J138">
        <f>ROUND(F138+$C$2/2*SIN(D138)*SIN('出力'!$T$132)/SIN(D138-'出力'!$T$132)*E138^2,2)</f>
        <v>-69.55</v>
      </c>
      <c r="K138">
        <f>D138-$E$3-'出力'!$T$130-$E$82</f>
        <v>0.963927718905041</v>
      </c>
      <c r="L138">
        <f>D138-$E$3-'出力'!$T$131-$E$83</f>
        <v>0.5009094953223725</v>
      </c>
    </row>
    <row r="139" spans="2:12" ht="13.5">
      <c r="B139">
        <f t="shared" si="20"/>
        <v>-145.62</v>
      </c>
      <c r="C139">
        <f t="shared" si="25"/>
        <v>88</v>
      </c>
      <c r="D139">
        <f t="shared" si="26"/>
        <v>1.53588974175501</v>
      </c>
      <c r="E139">
        <f>ROUND('出力'!$T$139*TAN('出力'!$T$131)+('出力'!$T$138+'出力'!$T$139)/TAN(D139)+'出力'!$T$138*TAN('出力'!$T$130),2)</f>
        <v>-2.33</v>
      </c>
      <c r="F139">
        <f>ROUND($C$2/2*((1/TAN(D139)+TAN('出力'!$T$131))*('出力'!$T$138+'出力'!$T$139)^2+(TAN('出力'!$T$130)-TAN('出力'!$T$131))*'出力'!$T$138^2),2)</f>
        <v>-113.88</v>
      </c>
      <c r="G139">
        <f>IF('出力'!$T$43=0,H139,IF(D139&lt;=$C$80,I139,J139))</f>
        <v>-137.18</v>
      </c>
      <c r="H139">
        <f>ROUND(F139+E139*'出力'!$T$39,2)</f>
        <v>-137.18</v>
      </c>
      <c r="I139">
        <f>ROUND(F139+$C$2/2*(2*E139-(1/TAN('出力'!$T$132)-1/TAN(D139))*'出力'!$T$43)+(E139-(1/TAN('出力'!$T$132)-1/TAN(D139))*'出力'!$T$43)*'出力'!$T$39,2)</f>
        <v>-183.78</v>
      </c>
      <c r="J139">
        <f>ROUND(F139+$C$2/2*SIN(D139)*SIN('出力'!$T$132)/SIN(D139-'出力'!$T$132)*E139^2,2)</f>
        <v>-76.82</v>
      </c>
      <c r="K139">
        <f>D139-$E$3-'出力'!$T$130-$E$82</f>
        <v>0.9813810114249844</v>
      </c>
      <c r="L139">
        <f>D139-$E$3-'出力'!$T$131-$E$83</f>
        <v>0.5183627878423158</v>
      </c>
    </row>
    <row r="140" spans="2:12" ht="13.5">
      <c r="B140">
        <f t="shared" si="20"/>
        <v>-160.07</v>
      </c>
      <c r="C140">
        <f>C139+1</f>
        <v>89</v>
      </c>
      <c r="D140">
        <f>C140*PI()/180</f>
        <v>1.5533430342749535</v>
      </c>
      <c r="E140">
        <f>ROUND('出力'!$T$139*TAN('出力'!$T$131)+('出力'!$T$138+'出力'!$T$139)/TAN(D140)+'出力'!$T$138*TAN('出力'!$T$130),2)</f>
        <v>-2.47</v>
      </c>
      <c r="F140">
        <f>ROUND($C$2/2*((1/TAN(D140)+TAN('出力'!$T$131))*('出力'!$T$138+'出力'!$T$139)^2+(TAN('出力'!$T$130)-TAN('出力'!$T$131))*'出力'!$T$138^2),2)</f>
        <v>-125.05</v>
      </c>
      <c r="G140">
        <f>IF('出力'!$T$43=0,H140,IF(D140&lt;=$C$80,I140,J140))</f>
        <v>-149.75</v>
      </c>
      <c r="H140">
        <f>ROUND(F140+E140*'出力'!$T$39,2)</f>
        <v>-149.75</v>
      </c>
      <c r="I140">
        <f>ROUND(F140+$C$2/2*(2*E140-(1/TAN('出力'!$T$132)-1/TAN(D140))*'出力'!$T$43)+(E140-(1/TAN('出力'!$T$132)-1/TAN(D140))*'出力'!$T$43)*'出力'!$T$39,2)</f>
        <v>-199.15</v>
      </c>
      <c r="J140">
        <f>ROUND(F140+$C$2/2*SIN(D140)*SIN('出力'!$T$132)/SIN(D140-'出力'!$T$132)*E140^2,2)</f>
        <v>-83.9</v>
      </c>
      <c r="K140">
        <f>D140-$E$3-'出力'!$T$130-$E$82</f>
        <v>0.9988343039449279</v>
      </c>
      <c r="L140">
        <f>D140-$E$3-'出力'!$T$131-$E$83</f>
        <v>0.5358160803622594</v>
      </c>
    </row>
    <row r="141" spans="2:12" ht="13.5">
      <c r="B141">
        <f t="shared" si="20"/>
        <v>-175.14</v>
      </c>
      <c r="C141">
        <f>C140+1</f>
        <v>90</v>
      </c>
      <c r="D141">
        <f>C141*PI()/180</f>
        <v>1.5707963267948966</v>
      </c>
      <c r="E141">
        <f>ROUND('出力'!$T$139*TAN('出力'!$T$131)+('出力'!$T$138+'出力'!$T$139)/TAN(D141)+'出力'!$T$138*TAN('出力'!$T$130),2)</f>
        <v>-2.61</v>
      </c>
      <c r="F141">
        <f>ROUND($C$2/2*((1/TAN(D141)+TAN('出力'!$T$131))*('出力'!$T$138+'出力'!$T$139)^2+(TAN('出力'!$T$130)-TAN('出力'!$T$131))*'出力'!$T$138^2),2)</f>
        <v>-136.23</v>
      </c>
      <c r="G141">
        <f>IF('出力'!$T$43=0,H141,IF(D141&lt;=$C$80,I141,J141))</f>
        <v>-162.33</v>
      </c>
      <c r="H141">
        <f>ROUND(F141+E141*'出力'!$T$39,2)</f>
        <v>-162.33</v>
      </c>
      <c r="I141">
        <f>ROUND(F141+$C$2/2*(2*E141-(1/TAN('出力'!$T$132)-1/TAN(D141))*'出力'!$T$43)+(E141-(1/TAN('出力'!$T$132)-1/TAN(D141))*'出力'!$T$43)*'出力'!$T$39,2)</f>
        <v>-214.53</v>
      </c>
      <c r="J141">
        <f>ROUND(F141+$C$2/2*SIN(D141)*SIN('出力'!$T$132)/SIN(D141-'出力'!$T$132)*E141^2,2)</f>
        <v>-90.82</v>
      </c>
      <c r="K141">
        <f>D141-$E$3-'出力'!$T$130-$E$82</f>
        <v>1.016287596464871</v>
      </c>
      <c r="L141">
        <f>D141-$E$3-'出力'!$T$131-$E$83</f>
        <v>0.5532693728822025</v>
      </c>
    </row>
    <row r="142" spans="1:8" ht="15">
      <c r="A142" t="s">
        <v>40</v>
      </c>
      <c r="B142">
        <f>MAX(B86:B141)</f>
        <v>89.51</v>
      </c>
      <c r="C142" s="1">
        <f>VLOOKUP($B$142,$B$86:$H$141,2,FALSE)</f>
        <v>54</v>
      </c>
      <c r="D142" s="1">
        <f>VLOOKUP($B$142,$B$86:$H$141,3,FALSE)</f>
        <v>0.9424777960769379</v>
      </c>
      <c r="E142" s="1">
        <f>VLOOKUP($B$142,$B$86:$H$141,4,FALSE)</f>
        <v>3.2</v>
      </c>
      <c r="F142" s="1">
        <f>VLOOKUP($B$142,$B$86:$H$141,5,FALSE)</f>
        <v>328.76</v>
      </c>
      <c r="G142" s="1">
        <f>VLOOKUP($B$142,$B$86:$H$141,6,FALSE)</f>
        <v>360.76</v>
      </c>
      <c r="H142" s="1"/>
    </row>
    <row r="145" spans="2:12" ht="13.5">
      <c r="B145">
        <f aca="true" t="shared" si="27" ref="B145:B153">ROUND((G145/COS($C$4)*SIN(D145-$E$3-$C$4)-$C$60*COS(K145))/COS(L145),2)</f>
        <v>86.32</v>
      </c>
      <c r="C145">
        <f>C142-4</f>
        <v>50</v>
      </c>
      <c r="D145">
        <f>C145*PI()/180</f>
        <v>0.8726646259971648</v>
      </c>
      <c r="E145">
        <f>ROUND('出力'!$T$139*TAN('出力'!$T$131)+('出力'!$T$138+'出力'!$T$139)/TAN(D145)+'出力'!$T$138*TAN('出力'!$T$130),2)</f>
        <v>4.1</v>
      </c>
      <c r="F145">
        <f>ROUND($C$2/2*((1/TAN(D145)+TAN('出力'!$T$131))*('出力'!$T$138+'出力'!$T$139)^2+(TAN('出力'!$T$130)-TAN('出力'!$T$131))*'出力'!$T$138^2),2)</f>
        <v>400.8</v>
      </c>
      <c r="G145">
        <f>IF('出力'!$T$43=0,H145,IF(D145&lt;=$C$80,I145,J145))</f>
        <v>441.8</v>
      </c>
      <c r="H145">
        <f>ROUND(F145+E145*'出力'!$T$39,2)</f>
        <v>441.8</v>
      </c>
      <c r="I145">
        <f>ROUND(F145+$C$2/2*(2*E145-(1/TAN('出力'!$T$132)-1/TAN(D145))*'出力'!$T$43)+(E145-(1/TAN('出力'!$T$132)-1/TAN(D145))*'出力'!$T$43)*'出力'!$T$39,2)</f>
        <v>523.8</v>
      </c>
      <c r="J145">
        <f>ROUND(F145+$C$2/2*SIN(D145)*SIN('出力'!$T$132)/SIN(D145-'出力'!$T$132)*E145^2,2)</f>
        <v>655.15</v>
      </c>
      <c r="K145">
        <f>D145-$E$3-'出力'!$T$130-$E$82</f>
        <v>0.31815589566713925</v>
      </c>
      <c r="L145">
        <f>D145-$E$3-'出力'!$T$131-$E$83</f>
        <v>-0.14486232791552933</v>
      </c>
    </row>
    <row r="146" spans="2:12" ht="13.5">
      <c r="B146">
        <f t="shared" si="27"/>
        <v>87.92</v>
      </c>
      <c r="C146">
        <f>C145+1</f>
        <v>51</v>
      </c>
      <c r="D146">
        <f aca="true" t="shared" si="28" ref="D146:D153">C146*PI()/180</f>
        <v>0.890117918517108</v>
      </c>
      <c r="E146">
        <f>ROUND('出力'!$T$139*TAN('出力'!$T$131)+('出力'!$T$138+'出力'!$T$139)/TAN(D146)+'出力'!$T$138*TAN('出力'!$T$130),2)</f>
        <v>3.87</v>
      </c>
      <c r="F146">
        <f>ROUND($C$2/2*((1/TAN(D146)+TAN('出力'!$T$131))*('出力'!$T$138+'出力'!$T$139)^2+(TAN('出力'!$T$130)-TAN('出力'!$T$131))*'出力'!$T$138^2),2)</f>
        <v>382.04</v>
      </c>
      <c r="G146">
        <f>IF('出力'!$T$43=0,H146,IF(D146&lt;=$C$80,I146,J146))</f>
        <v>420.74</v>
      </c>
      <c r="H146">
        <f>ROUND(F146+E146*'出力'!$T$39,2)</f>
        <v>420.74</v>
      </c>
      <c r="I146">
        <f>ROUND(F146+$C$2/2*(2*E146-(1/TAN('出力'!$T$132)-1/TAN(D146))*'出力'!$T$43)+(E146-(1/TAN('出力'!$T$132)-1/TAN(D146))*'出力'!$T$43)*'出力'!$T$39,2)</f>
        <v>498.14</v>
      </c>
      <c r="J146">
        <f>ROUND(F146+$C$2/2*SIN(D146)*SIN('出力'!$T$132)/SIN(D146-'出力'!$T$132)*E146^2,2)</f>
        <v>599.03</v>
      </c>
      <c r="K146">
        <f>D146-$E$3-'出力'!$T$130-$E$82</f>
        <v>0.33560918818708246</v>
      </c>
      <c r="L146">
        <f>D146-$E$3-'出力'!$T$131-$E$83</f>
        <v>-0.12740903539558612</v>
      </c>
    </row>
    <row r="147" spans="2:12" ht="13.5">
      <c r="B147">
        <f t="shared" si="27"/>
        <v>88.96</v>
      </c>
      <c r="C147">
        <f aca="true" t="shared" si="29" ref="C147:C153">C146+1</f>
        <v>52</v>
      </c>
      <c r="D147">
        <f t="shared" si="28"/>
        <v>0.9075712110370514</v>
      </c>
      <c r="E147">
        <f>ROUND('出力'!$T$139*TAN('出力'!$T$131)+('出力'!$T$138+'出力'!$T$139)/TAN(D147)+'出力'!$T$138*TAN('出力'!$T$130),2)</f>
        <v>3.64</v>
      </c>
      <c r="F147">
        <f>ROUND($C$2/2*((1/TAN(D147)+TAN('出力'!$T$131))*('出力'!$T$138+'出力'!$T$139)^2+(TAN('出力'!$T$130)-TAN('出力'!$T$131))*'出力'!$T$138^2),2)</f>
        <v>363.8</v>
      </c>
      <c r="G147">
        <f>IF('出力'!$T$43=0,H147,IF(D147&lt;=$C$80,I147,J147))</f>
        <v>400.2</v>
      </c>
      <c r="H147">
        <f>ROUND(F147+E147*'出力'!$T$39,2)</f>
        <v>400.2</v>
      </c>
      <c r="I147">
        <f>ROUND(F147+$C$2/2*(2*E147-(1/TAN('出力'!$T$132)-1/TAN(D147))*'出力'!$T$43)+(E147-(1/TAN('出力'!$T$132)-1/TAN(D147))*'出力'!$T$43)*'出力'!$T$39,2)</f>
        <v>473</v>
      </c>
      <c r="J147">
        <f>ROUND(F147+$C$2/2*SIN(D147)*SIN('出力'!$T$132)/SIN(D147-'出力'!$T$132)*E147^2,2)</f>
        <v>548.15</v>
      </c>
      <c r="K147">
        <f>D147-$E$3-'出力'!$T$130-$E$82</f>
        <v>0.3530624807070259</v>
      </c>
      <c r="L147">
        <f>D147-$E$3-'出力'!$T$131-$E$83</f>
        <v>-0.10995574287564269</v>
      </c>
    </row>
    <row r="148" spans="2:12" ht="13.5">
      <c r="B148">
        <f t="shared" si="27"/>
        <v>89.49</v>
      </c>
      <c r="C148">
        <f t="shared" si="29"/>
        <v>53</v>
      </c>
      <c r="D148">
        <f t="shared" si="28"/>
        <v>0.9250245035569946</v>
      </c>
      <c r="E148">
        <f>ROUND('出力'!$T$139*TAN('出力'!$T$131)+('出力'!$T$138+'出力'!$T$139)/TAN(D148)+'出力'!$T$138*TAN('出力'!$T$130),2)</f>
        <v>3.42</v>
      </c>
      <c r="F148">
        <f>ROUND($C$2/2*((1/TAN(D148)+TAN('出力'!$T$131))*('出力'!$T$138+'出力'!$T$139)^2+(TAN('出力'!$T$130)-TAN('出力'!$T$131))*'出力'!$T$138^2),2)</f>
        <v>346.05</v>
      </c>
      <c r="G148">
        <f>IF('出力'!$T$43=0,H148,IF(D148&lt;=$C$80,I148,J148))</f>
        <v>380.25</v>
      </c>
      <c r="H148">
        <f>ROUND(F148+E148*'出力'!$T$39,2)</f>
        <v>380.25</v>
      </c>
      <c r="I148">
        <f>ROUND(F148+$C$2/2*(2*E148-(1/TAN('出力'!$T$132)-1/TAN(D148))*'出力'!$T$43)+(E148-(1/TAN('出力'!$T$132)-1/TAN(D148))*'出力'!$T$43)*'出力'!$T$39,2)</f>
        <v>448.65</v>
      </c>
      <c r="J148">
        <f>ROUND(F148+$C$2/2*SIN(D148)*SIN('出力'!$T$132)/SIN(D148-'出力'!$T$132)*E148^2,2)</f>
        <v>502.74</v>
      </c>
      <c r="K148">
        <f>D148-$E$3-'出力'!$T$130-$E$82</f>
        <v>0.3705157732269691</v>
      </c>
      <c r="L148">
        <f>D148-$E$3-'出力'!$T$131-$E$83</f>
        <v>-0.09250245035569948</v>
      </c>
    </row>
    <row r="149" spans="2:12" ht="13.5">
      <c r="B149">
        <f t="shared" si="27"/>
        <v>89.51</v>
      </c>
      <c r="C149">
        <f t="shared" si="29"/>
        <v>54</v>
      </c>
      <c r="D149">
        <f t="shared" si="28"/>
        <v>0.9424777960769379</v>
      </c>
      <c r="E149">
        <f>ROUND('出力'!$T$139*TAN('出力'!$T$131)+('出力'!$T$138+'出力'!$T$139)/TAN(D149)+'出力'!$T$138*TAN('出力'!$T$130),2)</f>
        <v>3.2</v>
      </c>
      <c r="F149">
        <f>ROUND($C$2/2*((1/TAN(D149)+TAN('出力'!$T$131))*('出力'!$T$138+'出力'!$T$139)^2+(TAN('出力'!$T$130)-TAN('出力'!$T$131))*'出力'!$T$138^2),2)</f>
        <v>328.76</v>
      </c>
      <c r="G149">
        <f>IF('出力'!$T$43=0,H149,IF(D149&lt;=$C$80,I149,J149))</f>
        <v>360.76</v>
      </c>
      <c r="H149">
        <f>ROUND(F149+E149*'出力'!$T$39,2)</f>
        <v>360.76</v>
      </c>
      <c r="I149">
        <f>ROUND(F149+$C$2/2*(2*E149-(1/TAN('出力'!$T$132)-1/TAN(D149))*'出力'!$T$43)+(E149-(1/TAN('出力'!$T$132)-1/TAN(D149))*'出力'!$T$43)*'出力'!$T$39,2)</f>
        <v>424.76</v>
      </c>
      <c r="J149">
        <f>ROUND(F149+$C$2/2*SIN(D149)*SIN('出力'!$T$132)/SIN(D149-'出力'!$T$132)*E149^2,2)</f>
        <v>461.15</v>
      </c>
      <c r="K149">
        <f>D149-$E$3-'出力'!$T$130-$E$82</f>
        <v>0.3879690657469124</v>
      </c>
      <c r="L149">
        <f>D149-$E$3-'出力'!$T$131-$E$83</f>
        <v>-0.07504915783575616</v>
      </c>
    </row>
    <row r="150" spans="2:12" ht="13.5">
      <c r="B150">
        <f t="shared" si="27"/>
        <v>89.06</v>
      </c>
      <c r="C150">
        <f t="shared" si="29"/>
        <v>55</v>
      </c>
      <c r="D150">
        <f t="shared" si="28"/>
        <v>0.9599310885968813</v>
      </c>
      <c r="E150">
        <f>ROUND('出力'!$T$139*TAN('出力'!$T$131)+('出力'!$T$138+'出力'!$T$139)/TAN(D150)+'出力'!$T$138*TAN('出力'!$T$130),2)</f>
        <v>2.99</v>
      </c>
      <c r="F150">
        <f>ROUND($C$2/2*((1/TAN(D150)+TAN('出力'!$T$131))*('出力'!$T$138+'出力'!$T$139)^2+(TAN('出力'!$T$130)-TAN('出力'!$T$131))*'出力'!$T$138^2),2)</f>
        <v>311.91</v>
      </c>
      <c r="G150">
        <f>IF('出力'!$T$43=0,H150,IF(D150&lt;=$C$80,I150,J150))</f>
        <v>341.81</v>
      </c>
      <c r="H150">
        <f>ROUND(F150+E150*'出力'!$T$39,2)</f>
        <v>341.81</v>
      </c>
      <c r="I150">
        <f>ROUND(F150+$C$2/2*(2*E150-(1/TAN('出力'!$T$132)-1/TAN(D150))*'出力'!$T$43)+(E150-(1/TAN('出力'!$T$132)-1/TAN(D150))*'出力'!$T$43)*'出力'!$T$39,2)</f>
        <v>401.61</v>
      </c>
      <c r="J150">
        <f>ROUND(F150+$C$2/2*SIN(D150)*SIN('出力'!$T$132)/SIN(D150-'出力'!$T$132)*E150^2,2)</f>
        <v>423.69</v>
      </c>
      <c r="K150">
        <f>D150-$E$3-'出力'!$T$130-$E$82</f>
        <v>0.40542235826685574</v>
      </c>
      <c r="L150">
        <f>D150-$E$3-'出力'!$T$131-$E$83</f>
        <v>-0.057595865315812844</v>
      </c>
    </row>
    <row r="151" spans="2:12" ht="13.5">
      <c r="B151">
        <f t="shared" si="27"/>
        <v>88.18</v>
      </c>
      <c r="C151">
        <f t="shared" si="29"/>
        <v>56</v>
      </c>
      <c r="D151">
        <f t="shared" si="28"/>
        <v>0.9773843811168246</v>
      </c>
      <c r="E151">
        <f>ROUND('出力'!$T$139*TAN('出力'!$T$131)+('出力'!$T$138+'出力'!$T$139)/TAN(D151)+'出力'!$T$138*TAN('出力'!$T$130),2)</f>
        <v>2.79</v>
      </c>
      <c r="F151">
        <f>ROUND($C$2/2*((1/TAN(D151)+TAN('出力'!$T$131))*('出力'!$T$138+'出力'!$T$139)^2+(TAN('出力'!$T$130)-TAN('出力'!$T$131))*'出力'!$T$138^2),2)</f>
        <v>295.46</v>
      </c>
      <c r="G151">
        <f>IF('出力'!$T$43=0,H151,IF(D151&lt;=$C$80,I151,J151))</f>
        <v>323.36</v>
      </c>
      <c r="H151">
        <f>ROUND(F151+E151*'出力'!$T$39,2)</f>
        <v>323.36</v>
      </c>
      <c r="I151">
        <f>ROUND(F151+$C$2/2*(2*E151-(1/TAN('出力'!$T$132)-1/TAN(D151))*'出力'!$T$43)+(E151-(1/TAN('出力'!$T$132)-1/TAN(D151))*'出力'!$T$43)*'出力'!$T$39,2)</f>
        <v>379.16</v>
      </c>
      <c r="J151">
        <f>ROUND(F151+$C$2/2*SIN(D151)*SIN('出力'!$T$132)/SIN(D151-'出力'!$T$132)*E151^2,2)</f>
        <v>389.76</v>
      </c>
      <c r="K151">
        <f>D151-$E$3-'出力'!$T$130-$E$82</f>
        <v>0.42287565078679906</v>
      </c>
      <c r="L151">
        <f>D151-$E$3-'出力'!$T$131-$E$83</f>
        <v>-0.040142572795869524</v>
      </c>
    </row>
    <row r="152" spans="2:12" ht="13.5">
      <c r="B152">
        <f t="shared" si="27"/>
        <v>86.84</v>
      </c>
      <c r="C152">
        <f t="shared" si="29"/>
        <v>57</v>
      </c>
      <c r="D152">
        <f t="shared" si="28"/>
        <v>0.9948376736367678</v>
      </c>
      <c r="E152">
        <f>ROUND('出力'!$T$139*TAN('出力'!$T$131)+('出力'!$T$138+'出力'!$T$139)/TAN(D152)+'出力'!$T$138*TAN('出力'!$T$130),2)</f>
        <v>2.59</v>
      </c>
      <c r="F152">
        <f>ROUND($C$2/2*((1/TAN(D152)+TAN('出力'!$T$131))*('出力'!$T$138+'出力'!$T$139)^2+(TAN('出力'!$T$130)-TAN('出力'!$T$131))*'出力'!$T$138^2),2)</f>
        <v>279.4</v>
      </c>
      <c r="G152">
        <f>IF('出力'!$T$43=0,H152,IF(D152&lt;=$C$80,I152,J152))</f>
        <v>305.3</v>
      </c>
      <c r="H152">
        <f>ROUND(F152+E152*'出力'!$T$39,2)</f>
        <v>305.3</v>
      </c>
      <c r="I152">
        <f>ROUND(F152+$C$2/2*(2*E152-(1/TAN('出力'!$T$132)-1/TAN(D152))*'出力'!$T$43)+(E152-(1/TAN('出力'!$T$132)-1/TAN(D152))*'出力'!$T$43)*'出力'!$T$39,2)</f>
        <v>357.1</v>
      </c>
      <c r="J152">
        <f>ROUND(F152+$C$2/2*SIN(D152)*SIN('出力'!$T$132)/SIN(D152-'出力'!$T$132)*E152^2,2)</f>
        <v>358.26</v>
      </c>
      <c r="K152">
        <f>D152-$E$3-'出力'!$T$130-$E$82</f>
        <v>0.44032894330674227</v>
      </c>
      <c r="L152">
        <f>D152-$E$3-'出力'!$T$131-$E$83</f>
        <v>-0.022689280275926316</v>
      </c>
    </row>
    <row r="153" spans="2:12" ht="13.5">
      <c r="B153">
        <f t="shared" si="27"/>
        <v>85.05</v>
      </c>
      <c r="C153">
        <f t="shared" si="29"/>
        <v>58</v>
      </c>
      <c r="D153">
        <f t="shared" si="28"/>
        <v>1.0122909661567112</v>
      </c>
      <c r="E153">
        <f>ROUND('出力'!$T$139*TAN('出力'!$T$131)+('出力'!$T$138+'出力'!$T$139)/TAN(D153)+'出力'!$T$138*TAN('出力'!$T$130),2)</f>
        <v>2.39</v>
      </c>
      <c r="F153">
        <f>ROUND($C$2/2*((1/TAN(D153)+TAN('出力'!$T$131))*('出力'!$T$138+'出力'!$T$139)^2+(TAN('出力'!$T$130)-TAN('出力'!$T$131))*'出力'!$T$138^2),2)</f>
        <v>263.69</v>
      </c>
      <c r="G153">
        <f>IF('出力'!$T$43=0,H153,IF(D153&lt;=$C$80,I153,J153))</f>
        <v>287.59</v>
      </c>
      <c r="H153">
        <f>ROUND(F153+E153*'出力'!$T$39,2)</f>
        <v>287.59</v>
      </c>
      <c r="I153">
        <f>ROUND(F153+$C$2/2*(2*E153-(1/TAN('出力'!$T$132)-1/TAN(D153))*'出力'!$T$43)+(E153-(1/TAN('出力'!$T$132)-1/TAN(D153))*'出力'!$T$43)*'出力'!$T$39,2)</f>
        <v>335.39</v>
      </c>
      <c r="J153">
        <f>ROUND(F153+$C$2/2*SIN(D153)*SIN('出力'!$T$132)/SIN(D153-'出力'!$T$132)*E153^2,2)</f>
        <v>328.96</v>
      </c>
      <c r="K153">
        <f>D153-$E$3-'出力'!$T$130-$E$82</f>
        <v>0.4577822358266857</v>
      </c>
      <c r="L153">
        <f>D153-$E$3-'出力'!$T$131-$E$83</f>
        <v>-0.005235987755982885</v>
      </c>
    </row>
    <row r="161" spans="2:6" ht="13.5">
      <c r="B161" t="s">
        <v>41</v>
      </c>
      <c r="C161">
        <f>ATAN(('出力'!T$43+'出力'!T$18+'出力'!T$23/2)/(-'出力'!T$139/2*'出力'!T$26-'出力'!T$138*'出力'!V$20+'出力'!T$43*'出力'!V$44))</f>
        <v>1.1889643937250816</v>
      </c>
      <c r="D161" t="s">
        <v>7</v>
      </c>
      <c r="E161">
        <f>C161*180/PI()</f>
        <v>68.12264175177788</v>
      </c>
      <c r="F161" t="s">
        <v>8</v>
      </c>
    </row>
    <row r="162" spans="2:4" ht="13.5">
      <c r="B162" t="s">
        <v>42</v>
      </c>
      <c r="C162">
        <f>'出力'!T23/2</f>
        <v>1.5</v>
      </c>
      <c r="D162" t="s">
        <v>16</v>
      </c>
    </row>
    <row r="163" spans="2:4" ht="13.5">
      <c r="B163" t="s">
        <v>43</v>
      </c>
      <c r="C163">
        <f>'出力'!T139/2</f>
        <v>1.3900000000000001</v>
      </c>
      <c r="D163" t="s">
        <v>16</v>
      </c>
    </row>
    <row r="165" spans="2:12" ht="13.5">
      <c r="B165" t="s">
        <v>36</v>
      </c>
      <c r="C165" t="s">
        <v>26</v>
      </c>
      <c r="D165" t="s">
        <v>27</v>
      </c>
      <c r="E165" t="s">
        <v>30</v>
      </c>
      <c r="F165" t="s">
        <v>31</v>
      </c>
      <c r="G165" t="s">
        <v>35</v>
      </c>
      <c r="H165" t="s">
        <v>32</v>
      </c>
      <c r="I165" t="s">
        <v>33</v>
      </c>
      <c r="J165" t="s">
        <v>34</v>
      </c>
      <c r="K165" t="s">
        <v>38</v>
      </c>
      <c r="L165" t="s">
        <v>39</v>
      </c>
    </row>
    <row r="166" spans="2:12" ht="13.5">
      <c r="B166">
        <f>ROUND((G166/COS($C$4)*SIN(D166-$E$3-$C$4)-$C$60*COS(K166))/COS(L166),2)</f>
        <v>-33.11</v>
      </c>
      <c r="C166">
        <f>C86</f>
        <v>35</v>
      </c>
      <c r="D166">
        <f aca="true" t="shared" si="30" ref="D166:D220">C166*PI()/180</f>
        <v>0.6108652381980153</v>
      </c>
      <c r="E166">
        <f>ROUND($C$163*TAN('出力'!$T$131)+('出力'!$T$138+$C$163)/TAN(D166)+'出力'!$T$138*TAN('出力'!$T$130),2)</f>
        <v>6.83</v>
      </c>
      <c r="F166">
        <f>ROUND($C$2/2*((1/TAN(D166)+TAN('出力'!$T$131))*('出力'!$T$138+$C$163)^2+(TAN('出力'!$T$130)-TAN('出力'!$T$131))*'出力'!$T$138^2),2)</f>
        <v>487.76</v>
      </c>
      <c r="G166">
        <f>IF('出力'!$T$43=0,H166,IF(D166&lt;=$C$161,I166,J166))</f>
        <v>556.06</v>
      </c>
      <c r="H166">
        <f>ROUND(F166+E166*'出力'!$T$39,2)</f>
        <v>556.06</v>
      </c>
      <c r="I166">
        <f>ROUND(F166+$C$2/2*(2*E166-(1/TAN('出力'!$T$132)-1/TAN(D166))*'出力'!$T$43)+(E166-(1/TAN('出力'!$T$132)-1/TAN(D166))*'出力'!$T$43)*'出力'!$T$39,2)</f>
        <v>692.66</v>
      </c>
      <c r="J166">
        <f>ROUND(F166+$C$2/2*SIN(D166)*SIN('出力'!$T$132)/SIN(D166-'出力'!$T$132)*E166^2,2)</f>
        <v>6979.36</v>
      </c>
      <c r="K166">
        <f>D166-$E$3-'出力'!$T$130-$E$82</f>
        <v>0.05635650786798979</v>
      </c>
      <c r="L166">
        <f>D166-$E$3-'出力'!$T$131-$E$83</f>
        <v>-0.4066617157146788</v>
      </c>
    </row>
    <row r="167" spans="2:12" ht="13.5">
      <c r="B167">
        <f aca="true" t="shared" si="31" ref="B167:B220">ROUND((G167/COS($C$4)*SIN(D167-$E$3-$C$4)-$C$60*COS(K167))/COS(L167),2)</f>
        <v>-22.83</v>
      </c>
      <c r="C167">
        <f>C166+1</f>
        <v>36</v>
      </c>
      <c r="D167">
        <f t="shared" si="30"/>
        <v>0.6283185307179586</v>
      </c>
      <c r="E167">
        <f>ROUND($C$163*TAN('出力'!$T$131)+('出力'!$T$138+$C$163)/TAN(D167)+'出力'!$T$138*TAN('出力'!$T$130),2)</f>
        <v>6.49</v>
      </c>
      <c r="F167">
        <f>ROUND($C$2/2*((1/TAN(D167)+TAN('出力'!$T$131))*('出力'!$T$138+$C$163)^2+(TAN('出力'!$T$130)-TAN('出力'!$T$131))*'出力'!$T$138^2),2)</f>
        <v>465.14</v>
      </c>
      <c r="G167">
        <f>IF('出力'!$T$43=0,H167,IF(D167&lt;=$C$161,I167,J167))</f>
        <v>530.04</v>
      </c>
      <c r="H167">
        <f>ROUND(F167+E167*'出力'!$T$39,2)</f>
        <v>530.04</v>
      </c>
      <c r="I167">
        <f>ROUND(F167+$C$2/2*(2*E167-(1/TAN('出力'!$T$132)-1/TAN(D167))*'出力'!$T$43)+(E167-(1/TAN('出力'!$T$132)-1/TAN(D167))*'出力'!$T$43)*'出力'!$T$39,2)</f>
        <v>659.84</v>
      </c>
      <c r="J167">
        <f>ROUND(F167+$C$2/2*SIN(D167)*SIN('出力'!$T$132)/SIN(D167-'出力'!$T$132)*E167^2,2)</f>
        <v>3872.18</v>
      </c>
      <c r="K167">
        <f>D167-$E$3-'出力'!$T$130-$E$82</f>
        <v>0.07380980038793311</v>
      </c>
      <c r="L167">
        <f>D167-$E$3-'出力'!$T$131-$E$83</f>
        <v>-0.3892084231947355</v>
      </c>
    </row>
    <row r="168" spans="2:12" ht="13.5">
      <c r="B168">
        <f t="shared" si="31"/>
        <v>-13.63</v>
      </c>
      <c r="C168">
        <f aca="true" t="shared" si="32" ref="C168:C220">C167+1</f>
        <v>37</v>
      </c>
      <c r="D168">
        <f t="shared" si="30"/>
        <v>0.6457718232379019</v>
      </c>
      <c r="E168">
        <f>ROUND($C$163*TAN('出力'!$T$131)+('出力'!$T$138+$C$163)/TAN(D168)+'出力'!$T$138*TAN('出力'!$T$130),2)</f>
        <v>6.16</v>
      </c>
      <c r="F168">
        <f>ROUND($C$2/2*((1/TAN(D168)+TAN('出力'!$T$131))*('出力'!$T$138+$C$163)^2+(TAN('出力'!$T$130)-TAN('出力'!$T$131))*'出力'!$T$138^2),2)</f>
        <v>443.59</v>
      </c>
      <c r="G168">
        <f>IF('出力'!$T$43=0,H168,IF(D168&lt;=$C$161,I168,J168))</f>
        <v>505.19</v>
      </c>
      <c r="H168">
        <f>ROUND(F168+E168*'出力'!$T$39,2)</f>
        <v>505.19</v>
      </c>
      <c r="I168">
        <f>ROUND(F168+$C$2/2*(2*E168-(1/TAN('出力'!$T$132)-1/TAN(D168))*'出力'!$T$43)+(E168-(1/TAN('出力'!$T$132)-1/TAN(D168))*'出力'!$T$43)*'出力'!$T$39,2)</f>
        <v>628.39</v>
      </c>
      <c r="J168">
        <f>ROUND(F168+$C$2/2*SIN(D168)*SIN('出力'!$T$132)/SIN(D168-'出力'!$T$132)*E168^2,2)</f>
        <v>2637.44</v>
      </c>
      <c r="K168">
        <f>D168-$E$3-'出力'!$T$130-$E$82</f>
        <v>0.09126309290787643</v>
      </c>
      <c r="L168">
        <f>D168-$E$3-'出力'!$T$131-$E$83</f>
        <v>-0.37175513067479216</v>
      </c>
    </row>
    <row r="169" spans="2:12" ht="13.5">
      <c r="B169">
        <f t="shared" si="31"/>
        <v>-5.42</v>
      </c>
      <c r="C169">
        <f t="shared" si="32"/>
        <v>38</v>
      </c>
      <c r="D169">
        <f t="shared" si="30"/>
        <v>0.6632251157578452</v>
      </c>
      <c r="E169">
        <f>ROUND($C$163*TAN('出力'!$T$131)+('出力'!$T$138+$C$163)/TAN(D169)+'出力'!$T$138*TAN('出力'!$T$130),2)</f>
        <v>5.85</v>
      </c>
      <c r="F169">
        <f>ROUND($C$2/2*((1/TAN(D169)+TAN('出力'!$T$131))*('出力'!$T$138+$C$163)^2+(TAN('出力'!$T$130)-TAN('出力'!$T$131))*'出力'!$T$138^2),2)</f>
        <v>423.01</v>
      </c>
      <c r="G169">
        <f>IF('出力'!$T$43=0,H169,IF(D169&lt;=$C$161,I169,J169))</f>
        <v>481.51</v>
      </c>
      <c r="H169">
        <f>ROUND(F169+E169*'出力'!$T$39,2)</f>
        <v>481.51</v>
      </c>
      <c r="I169">
        <f>ROUND(F169+$C$2/2*(2*E169-(1/TAN('出力'!$T$132)-1/TAN(D169))*'出力'!$T$43)+(E169-(1/TAN('出力'!$T$132)-1/TAN(D169))*'出力'!$T$43)*'出力'!$T$39,2)</f>
        <v>598.51</v>
      </c>
      <c r="J169">
        <f>ROUND(F169+$C$2/2*SIN(D169)*SIN('出力'!$T$132)/SIN(D169-'出力'!$T$132)*E169^2,2)</f>
        <v>1978.11</v>
      </c>
      <c r="K169">
        <f>D169-$E$3-'出力'!$T$130-$E$82</f>
        <v>0.10871638542781964</v>
      </c>
      <c r="L169">
        <f>D169-$E$3-'出力'!$T$131-$E$83</f>
        <v>-0.35430183815484895</v>
      </c>
    </row>
    <row r="170" spans="2:12" ht="13.5">
      <c r="B170">
        <f t="shared" si="31"/>
        <v>1.89</v>
      </c>
      <c r="C170">
        <f t="shared" si="32"/>
        <v>39</v>
      </c>
      <c r="D170">
        <f t="shared" si="30"/>
        <v>0.6806784082777885</v>
      </c>
      <c r="E170">
        <f>ROUND($C$163*TAN('出力'!$T$131)+('出力'!$T$138+$C$163)/TAN(D170)+'出力'!$T$138*TAN('出力'!$T$130),2)</f>
        <v>5.55</v>
      </c>
      <c r="F170">
        <f>ROUND($C$2/2*((1/TAN(D170)+TAN('出力'!$T$131))*('出力'!$T$138+$C$163)^2+(TAN('出力'!$T$130)-TAN('出力'!$T$131))*'出力'!$T$138^2),2)</f>
        <v>403.33</v>
      </c>
      <c r="G170">
        <f>IF('出力'!$T$43=0,H170,IF(D170&lt;=$C$161,I170,J170))</f>
        <v>458.83</v>
      </c>
      <c r="H170">
        <f>ROUND(F170+E170*'出力'!$T$39,2)</f>
        <v>458.83</v>
      </c>
      <c r="I170">
        <f>ROUND(F170+$C$2/2*(2*E170-(1/TAN('出力'!$T$132)-1/TAN(D170))*'出力'!$T$43)+(E170-(1/TAN('出力'!$T$132)-1/TAN(D170))*'出力'!$T$43)*'出力'!$T$39,2)</f>
        <v>569.83</v>
      </c>
      <c r="J170">
        <f>ROUND(F170+$C$2/2*SIN(D170)*SIN('出力'!$T$132)/SIN(D170-'出力'!$T$132)*E170^2,2)</f>
        <v>1565.2</v>
      </c>
      <c r="K170">
        <f>D170-$E$3-'出力'!$T$130-$E$82</f>
        <v>0.12616967794776296</v>
      </c>
      <c r="L170">
        <f>D170-$E$3-'出力'!$T$131-$E$83</f>
        <v>-0.3368485456349056</v>
      </c>
    </row>
    <row r="171" spans="2:12" ht="13.5">
      <c r="B171">
        <f t="shared" si="31"/>
        <v>8.38</v>
      </c>
      <c r="C171">
        <f t="shared" si="32"/>
        <v>40</v>
      </c>
      <c r="D171">
        <f t="shared" si="30"/>
        <v>0.6981317007977318</v>
      </c>
      <c r="E171">
        <f>ROUND($C$163*TAN('出力'!$T$131)+('出力'!$T$138+$C$163)/TAN(D171)+'出力'!$T$138*TAN('出力'!$T$130),2)</f>
        <v>5.27</v>
      </c>
      <c r="F171">
        <f>ROUND($C$2/2*((1/TAN(D171)+TAN('出力'!$T$131))*('出力'!$T$138+$C$163)^2+(TAN('出力'!$T$130)-TAN('出力'!$T$131))*'出力'!$T$138^2),2)</f>
        <v>384.48</v>
      </c>
      <c r="G171">
        <f>IF('出力'!$T$43=0,H171,IF(D171&lt;=$C$161,I171,J171))</f>
        <v>437.18</v>
      </c>
      <c r="H171">
        <f>ROUND(F171+E171*'出力'!$T$39,2)</f>
        <v>437.18</v>
      </c>
      <c r="I171">
        <f>ROUND(F171+$C$2/2*(2*E171-(1/TAN('出力'!$T$132)-1/TAN(D171))*'出力'!$T$43)+(E171-(1/TAN('出力'!$T$132)-1/TAN(D171))*'出力'!$T$43)*'出力'!$T$39,2)</f>
        <v>542.58</v>
      </c>
      <c r="J171">
        <f>ROUND(F171+$C$2/2*SIN(D171)*SIN('出力'!$T$132)/SIN(D171-'出力'!$T$132)*E171^2,2)</f>
        <v>1285.45</v>
      </c>
      <c r="K171">
        <f>D171-$E$3-'出力'!$T$130-$E$82</f>
        <v>0.14362297046770628</v>
      </c>
      <c r="L171">
        <f>D171-$E$3-'出力'!$T$131-$E$83</f>
        <v>-0.3193952531149623</v>
      </c>
    </row>
    <row r="172" spans="2:12" ht="13.5">
      <c r="B172">
        <f t="shared" si="31"/>
        <v>14.09</v>
      </c>
      <c r="C172">
        <f t="shared" si="32"/>
        <v>41</v>
      </c>
      <c r="D172">
        <f t="shared" si="30"/>
        <v>0.715584993317675</v>
      </c>
      <c r="E172">
        <f>ROUND($C$163*TAN('出力'!$T$131)+('出力'!$T$138+$C$163)/TAN(D172)+'出力'!$T$138*TAN('出力'!$T$130),2)</f>
        <v>4.99</v>
      </c>
      <c r="F172">
        <f>ROUND($C$2/2*((1/TAN(D172)+TAN('出力'!$T$131))*('出力'!$T$138+$C$163)^2+(TAN('出力'!$T$130)-TAN('出力'!$T$131))*'出力'!$T$138^2),2)</f>
        <v>366.39</v>
      </c>
      <c r="G172">
        <f>IF('出力'!$T$43=0,H172,IF(D172&lt;=$C$161,I172,J172))</f>
        <v>416.29</v>
      </c>
      <c r="H172">
        <f>ROUND(F172+E172*'出力'!$T$39,2)</f>
        <v>416.29</v>
      </c>
      <c r="I172">
        <f>ROUND(F172+$C$2/2*(2*E172-(1/TAN('出力'!$T$132)-1/TAN(D172))*'出力'!$T$43)+(E172-(1/TAN('出力'!$T$132)-1/TAN(D172))*'出力'!$T$43)*'出力'!$T$39,2)</f>
        <v>516.09</v>
      </c>
      <c r="J172">
        <f>ROUND(F172+$C$2/2*SIN(D172)*SIN('出力'!$T$132)/SIN(D172-'出力'!$T$132)*E172^2,2)</f>
        <v>1078.55</v>
      </c>
      <c r="K172">
        <f>D172-$E$3-'出力'!$T$130-$E$82</f>
        <v>0.1610762629876495</v>
      </c>
      <c r="L172">
        <f>D172-$E$3-'出力'!$T$131-$E$83</f>
        <v>-0.3019419605950191</v>
      </c>
    </row>
    <row r="173" spans="2:12" ht="13.5">
      <c r="B173">
        <f t="shared" si="31"/>
        <v>19.09</v>
      </c>
      <c r="C173">
        <f t="shared" si="32"/>
        <v>42</v>
      </c>
      <c r="D173">
        <f t="shared" si="30"/>
        <v>0.7330382858376184</v>
      </c>
      <c r="E173">
        <f>ROUND($C$163*TAN('出力'!$T$131)+('出力'!$T$138+$C$163)/TAN(D173)+'出力'!$T$138*TAN('出力'!$T$130),2)</f>
        <v>4.73</v>
      </c>
      <c r="F173">
        <f>ROUND($C$2/2*((1/TAN(D173)+TAN('出力'!$T$131))*('出力'!$T$138+$C$163)^2+(TAN('出力'!$T$130)-TAN('出力'!$T$131))*'出力'!$T$138^2),2)</f>
        <v>349.02</v>
      </c>
      <c r="G173">
        <f>IF('出力'!$T$43=0,H173,IF(D173&lt;=$C$161,I173,J173))</f>
        <v>396.32</v>
      </c>
      <c r="H173">
        <f>ROUND(F173+E173*'出力'!$T$39,2)</f>
        <v>396.32</v>
      </c>
      <c r="I173">
        <f>ROUND(F173+$C$2/2*(2*E173-(1/TAN('出力'!$T$132)-1/TAN(D173))*'出力'!$T$43)+(E173-(1/TAN('出力'!$T$132)-1/TAN(D173))*'出力'!$T$43)*'出力'!$T$39,2)</f>
        <v>490.92</v>
      </c>
      <c r="J173">
        <f>ROUND(F173+$C$2/2*SIN(D173)*SIN('出力'!$T$132)/SIN(D173-'出力'!$T$132)*E173^2,2)</f>
        <v>923.57</v>
      </c>
      <c r="K173">
        <f>D173-$E$3-'出力'!$T$130-$E$82</f>
        <v>0.17852955550759292</v>
      </c>
      <c r="L173">
        <f>D173-$E$3-'出力'!$T$131-$E$83</f>
        <v>-0.28448866807507567</v>
      </c>
    </row>
    <row r="174" spans="2:12" ht="13.5">
      <c r="B174">
        <f t="shared" si="31"/>
        <v>23.44</v>
      </c>
      <c r="C174">
        <f t="shared" si="32"/>
        <v>43</v>
      </c>
      <c r="D174">
        <f t="shared" si="30"/>
        <v>0.7504915783575616</v>
      </c>
      <c r="E174">
        <f>ROUND($C$163*TAN('出力'!$T$131)+('出力'!$T$138+$C$163)/TAN(D174)+'出力'!$T$138*TAN('出力'!$T$130),2)</f>
        <v>4.48</v>
      </c>
      <c r="F174">
        <f>ROUND($C$2/2*((1/TAN(D174)+TAN('出力'!$T$131))*('出力'!$T$138+$C$163)^2+(TAN('出力'!$T$130)-TAN('出力'!$T$131))*'出力'!$T$138^2),2)</f>
        <v>332.31</v>
      </c>
      <c r="G174">
        <f>IF('出力'!$T$43=0,H174,IF(D174&lt;=$C$161,I174,J174))</f>
        <v>377.11</v>
      </c>
      <c r="H174">
        <f>ROUND(F174+E174*'出力'!$T$39,2)</f>
        <v>377.11</v>
      </c>
      <c r="I174">
        <f>ROUND(F174+$C$2/2*(2*E174-(1/TAN('出力'!$T$132)-1/TAN(D174))*'出力'!$T$43)+(E174-(1/TAN('出力'!$T$132)-1/TAN(D174))*'出力'!$T$43)*'出力'!$T$39,2)</f>
        <v>466.71</v>
      </c>
      <c r="J174">
        <f>ROUND(F174+$C$2/2*SIN(D174)*SIN('出力'!$T$132)/SIN(D174-'出力'!$T$132)*E174^2,2)</f>
        <v>801.64</v>
      </c>
      <c r="K174">
        <f>D174-$E$3-'出力'!$T$130-$E$82</f>
        <v>0.19598284802753613</v>
      </c>
      <c r="L174">
        <f>D174-$E$3-'出力'!$T$131-$E$83</f>
        <v>-0.26703537555513246</v>
      </c>
    </row>
    <row r="175" spans="2:12" ht="13.5">
      <c r="B175">
        <f t="shared" si="31"/>
        <v>27.17</v>
      </c>
      <c r="C175">
        <f t="shared" si="32"/>
        <v>44</v>
      </c>
      <c r="D175">
        <f t="shared" si="30"/>
        <v>0.767944870877505</v>
      </c>
      <c r="E175">
        <f>ROUND($C$163*TAN('出力'!$T$131)+('出力'!$T$138+$C$163)/TAN(D175)+'出力'!$T$138*TAN('出力'!$T$130),2)</f>
        <v>4.24</v>
      </c>
      <c r="F175">
        <f>ROUND($C$2/2*((1/TAN(D175)+TAN('出力'!$T$131))*('出力'!$T$138+$C$163)^2+(TAN('出力'!$T$130)-TAN('出力'!$T$131))*'出力'!$T$138^2),2)</f>
        <v>316.22</v>
      </c>
      <c r="G175">
        <f>IF('出力'!$T$43=0,H175,IF(D175&lt;=$C$161,I175,J175))</f>
        <v>358.62</v>
      </c>
      <c r="H175">
        <f>ROUND(F175+E175*'出力'!$T$39,2)</f>
        <v>358.62</v>
      </c>
      <c r="I175">
        <f>ROUND(F175+$C$2/2*(2*E175-(1/TAN('出力'!$T$132)-1/TAN(D175))*'出力'!$T$43)+(E175-(1/TAN('出力'!$T$132)-1/TAN(D175))*'出力'!$T$43)*'出力'!$T$39,2)</f>
        <v>443.42</v>
      </c>
      <c r="J175">
        <f>ROUND(F175+$C$2/2*SIN(D175)*SIN('出力'!$T$132)/SIN(D175-'出力'!$T$132)*E175^2,2)</f>
        <v>703.27</v>
      </c>
      <c r="K175">
        <f>D175-$E$3-'出力'!$T$130-$E$82</f>
        <v>0.21343614054747945</v>
      </c>
      <c r="L175">
        <f>D175-$E$3-'出力'!$T$131-$E$83</f>
        <v>-0.24958208303518914</v>
      </c>
    </row>
    <row r="176" spans="2:12" ht="13.5">
      <c r="B176">
        <f t="shared" si="31"/>
        <v>30.32</v>
      </c>
      <c r="C176">
        <f t="shared" si="32"/>
        <v>45</v>
      </c>
      <c r="D176">
        <f t="shared" si="30"/>
        <v>0.7853981633974483</v>
      </c>
      <c r="E176">
        <f>ROUND($C$163*TAN('出力'!$T$131)+('出力'!$T$138+$C$163)/TAN(D176)+'出力'!$T$138*TAN('出力'!$T$130),2)</f>
        <v>4</v>
      </c>
      <c r="F176">
        <f>ROUND($C$2/2*((1/TAN(D176)+TAN('出力'!$T$131))*('出力'!$T$138+$C$163)^2+(TAN('出力'!$T$130)-TAN('出力'!$T$131))*'出力'!$T$138^2),2)</f>
        <v>300.7</v>
      </c>
      <c r="G176">
        <f>IF('出力'!$T$43=0,H176,IF(D176&lt;=$C$161,I176,J176))</f>
        <v>340.7</v>
      </c>
      <c r="H176">
        <f>ROUND(F176+E176*'出力'!$T$39,2)</f>
        <v>340.7</v>
      </c>
      <c r="I176">
        <f>ROUND(F176+$C$2/2*(2*E176-(1/TAN('出力'!$T$132)-1/TAN(D176))*'出力'!$T$43)+(E176-(1/TAN('出力'!$T$132)-1/TAN(D176))*'出力'!$T$43)*'出力'!$T$39,2)</f>
        <v>420.7</v>
      </c>
      <c r="J176">
        <f>ROUND(F176+$C$2/2*SIN(D176)*SIN('出力'!$T$132)/SIN(D176-'出力'!$T$132)*E176^2,2)</f>
        <v>620.69</v>
      </c>
      <c r="K176">
        <f>D176-$E$3-'出力'!$T$130-$E$82</f>
        <v>0.23088943306742277</v>
      </c>
      <c r="L176">
        <f>D176-$E$3-'出力'!$T$131-$E$83</f>
        <v>-0.23212879051524582</v>
      </c>
    </row>
    <row r="177" spans="2:12" ht="13.5">
      <c r="B177">
        <f t="shared" si="31"/>
        <v>32.94</v>
      </c>
      <c r="C177">
        <f t="shared" si="32"/>
        <v>46</v>
      </c>
      <c r="D177">
        <f t="shared" si="30"/>
        <v>0.8028514559173915</v>
      </c>
      <c r="E177">
        <f>ROUND($C$163*TAN('出力'!$T$131)+('出力'!$T$138+$C$163)/TAN(D177)+'出力'!$T$138*TAN('出力'!$T$130),2)</f>
        <v>3.77</v>
      </c>
      <c r="F177">
        <f>ROUND($C$2/2*((1/TAN(D177)+TAN('出力'!$T$131))*('出力'!$T$138+$C$163)^2+(TAN('出力'!$T$130)-TAN('出力'!$T$131))*'出力'!$T$138^2),2)</f>
        <v>285.7</v>
      </c>
      <c r="G177">
        <f>IF('出力'!$T$43=0,H177,IF(D177&lt;=$C$161,I177,J177))</f>
        <v>323.4</v>
      </c>
      <c r="H177">
        <f>ROUND(F177+E177*'出力'!$T$39,2)</f>
        <v>323.4</v>
      </c>
      <c r="I177">
        <f>ROUND(F177+$C$2/2*(2*E177-(1/TAN('出力'!$T$132)-1/TAN(D177))*'出力'!$T$43)+(E177-(1/TAN('出力'!$T$132)-1/TAN(D177))*'出力'!$T$43)*'出力'!$T$39,2)</f>
        <v>398.8</v>
      </c>
      <c r="J177">
        <f>ROUND(F177+$C$2/2*SIN(D177)*SIN('出力'!$T$132)/SIN(D177-'出力'!$T$132)*E177^2,2)</f>
        <v>551.7</v>
      </c>
      <c r="K177">
        <f>D177-$E$3-'出力'!$T$130-$E$82</f>
        <v>0.24834272558736598</v>
      </c>
      <c r="L177">
        <f>D177-$E$3-'出力'!$T$131-$E$83</f>
        <v>-0.2146754979953026</v>
      </c>
    </row>
    <row r="178" spans="2:12" ht="13.5">
      <c r="B178">
        <f t="shared" si="31"/>
        <v>35.06</v>
      </c>
      <c r="C178">
        <f t="shared" si="32"/>
        <v>47</v>
      </c>
      <c r="D178">
        <f t="shared" si="30"/>
        <v>0.8203047484373349</v>
      </c>
      <c r="E178">
        <f>ROUND($C$163*TAN('出力'!$T$131)+('出力'!$T$138+$C$163)/TAN(D178)+'出力'!$T$138*TAN('出力'!$T$130),2)</f>
        <v>3.55</v>
      </c>
      <c r="F178">
        <f>ROUND($C$2/2*((1/TAN(D178)+TAN('出力'!$T$131))*('出力'!$T$138+$C$163)^2+(TAN('出力'!$T$130)-TAN('出力'!$T$131))*'出力'!$T$138^2),2)</f>
        <v>271.21</v>
      </c>
      <c r="G178">
        <f>IF('出力'!$T$43=0,H178,IF(D178&lt;=$C$161,I178,J178))</f>
        <v>306.71</v>
      </c>
      <c r="H178">
        <f>ROUND(F178+E178*'出力'!$T$39,2)</f>
        <v>306.71</v>
      </c>
      <c r="I178">
        <f>ROUND(F178+$C$2/2*(2*E178-(1/TAN('出力'!$T$132)-1/TAN(D178))*'出力'!$T$43)+(E178-(1/TAN('出力'!$T$132)-1/TAN(D178))*'出力'!$T$43)*'出力'!$T$39,2)</f>
        <v>377.71</v>
      </c>
      <c r="J178">
        <f>ROUND(F178+$C$2/2*SIN(D178)*SIN('出力'!$T$132)/SIN(D178-'出力'!$T$132)*E178^2,2)</f>
        <v>493.28</v>
      </c>
      <c r="K178">
        <f>D178-$E$3-'出力'!$T$130-$E$82</f>
        <v>0.2657960181073094</v>
      </c>
      <c r="L178">
        <f>D178-$E$3-'出力'!$T$131-$E$83</f>
        <v>-0.19722220547535918</v>
      </c>
    </row>
    <row r="179" spans="2:12" ht="13.5">
      <c r="B179">
        <f t="shared" si="31"/>
        <v>36.71</v>
      </c>
      <c r="C179">
        <f t="shared" si="32"/>
        <v>48</v>
      </c>
      <c r="D179">
        <f t="shared" si="30"/>
        <v>0.8377580409572781</v>
      </c>
      <c r="E179">
        <f>ROUND($C$163*TAN('出力'!$T$131)+('出力'!$T$138+$C$163)/TAN(D179)+'出力'!$T$138*TAN('出力'!$T$130),2)</f>
        <v>3.34</v>
      </c>
      <c r="F179">
        <f>ROUND($C$2/2*((1/TAN(D179)+TAN('出力'!$T$131))*('出力'!$T$138+$C$163)^2+(TAN('出力'!$T$130)-TAN('出力'!$T$131))*'出力'!$T$138^2),2)</f>
        <v>257.18</v>
      </c>
      <c r="G179">
        <f>IF('出力'!$T$43=0,H179,IF(D179&lt;=$C$161,I179,J179))</f>
        <v>290.58</v>
      </c>
      <c r="H179">
        <f>ROUND(F179+E179*'出力'!$T$39,2)</f>
        <v>290.58</v>
      </c>
      <c r="I179">
        <f>ROUND(F179+$C$2/2*(2*E179-(1/TAN('出力'!$T$132)-1/TAN(D179))*'出力'!$T$43)+(E179-(1/TAN('出力'!$T$132)-1/TAN(D179))*'出力'!$T$43)*'出力'!$T$39,2)</f>
        <v>357.38</v>
      </c>
      <c r="J179">
        <f>ROUND(F179+$C$2/2*SIN(D179)*SIN('出力'!$T$132)/SIN(D179-'出力'!$T$132)*E179^2,2)</f>
        <v>443.23</v>
      </c>
      <c r="K179">
        <f>D179-$E$3-'出力'!$T$130-$E$82</f>
        <v>0.2832493106272526</v>
      </c>
      <c r="L179">
        <f>D179-$E$3-'出力'!$T$131-$E$83</f>
        <v>-0.17976891295541597</v>
      </c>
    </row>
    <row r="180" spans="2:12" ht="13.5">
      <c r="B180">
        <f t="shared" si="31"/>
        <v>37.93</v>
      </c>
      <c r="C180">
        <f t="shared" si="32"/>
        <v>49</v>
      </c>
      <c r="D180">
        <f t="shared" si="30"/>
        <v>0.8552113334772214</v>
      </c>
      <c r="E180">
        <f>ROUND($C$163*TAN('出力'!$T$131)+('出力'!$T$138+$C$163)/TAN(D180)+'出力'!$T$138*TAN('出力'!$T$130),2)</f>
        <v>3.14</v>
      </c>
      <c r="F180">
        <f>ROUND($C$2/2*((1/TAN(D180)+TAN('出力'!$T$131))*('出力'!$T$138+$C$163)^2+(TAN('出力'!$T$130)-TAN('出力'!$T$131))*'出力'!$T$138^2),2)</f>
        <v>243.58</v>
      </c>
      <c r="G180">
        <f>IF('出力'!$T$43=0,H180,IF(D180&lt;=$C$161,I180,J180))</f>
        <v>274.98</v>
      </c>
      <c r="H180">
        <f>ROUND(F180+E180*'出力'!$T$39,2)</f>
        <v>274.98</v>
      </c>
      <c r="I180">
        <f>ROUND(F180+$C$2/2*(2*E180-(1/TAN('出力'!$T$132)-1/TAN(D180))*'出力'!$T$43)+(E180-(1/TAN('出力'!$T$132)-1/TAN(D180))*'出力'!$T$43)*'出力'!$T$39,2)</f>
        <v>337.78</v>
      </c>
      <c r="J180">
        <f>ROUND(F180+$C$2/2*SIN(D180)*SIN('出力'!$T$132)/SIN(D180-'出力'!$T$132)*E180^2,2)</f>
        <v>399.9</v>
      </c>
      <c r="K180">
        <f>D180-$E$3-'出力'!$T$130-$E$82</f>
        <v>0.30070260314719593</v>
      </c>
      <c r="L180">
        <f>D180-$E$3-'出力'!$T$131-$E$83</f>
        <v>-0.16231562043547265</v>
      </c>
    </row>
    <row r="181" spans="2:12" ht="13.5">
      <c r="B181">
        <f t="shared" si="31"/>
        <v>38.71</v>
      </c>
      <c r="C181">
        <f t="shared" si="32"/>
        <v>50</v>
      </c>
      <c r="D181">
        <f t="shared" si="30"/>
        <v>0.8726646259971648</v>
      </c>
      <c r="E181">
        <f>ROUND($C$163*TAN('出力'!$T$131)+('出力'!$T$138+$C$163)/TAN(D181)+'出力'!$T$138*TAN('出力'!$T$130),2)</f>
        <v>2.94</v>
      </c>
      <c r="F181">
        <f>ROUND($C$2/2*((1/TAN(D181)+TAN('出力'!$T$131))*('出力'!$T$138+$C$163)^2+(TAN('出力'!$T$130)-TAN('出力'!$T$131))*'出力'!$T$138^2),2)</f>
        <v>230.39</v>
      </c>
      <c r="G181">
        <f>IF('出力'!$T$43=0,H181,IF(D181&lt;=$C$161,I181,J181))</f>
        <v>259.79</v>
      </c>
      <c r="H181">
        <f>ROUND(F181+E181*'出力'!$T$39,2)</f>
        <v>259.79</v>
      </c>
      <c r="I181">
        <f>ROUND(F181+$C$2/2*(2*E181-(1/TAN('出力'!$T$132)-1/TAN(D181))*'出力'!$T$43)+(E181-(1/TAN('出力'!$T$132)-1/TAN(D181))*'出力'!$T$43)*'出力'!$T$39,2)</f>
        <v>318.59</v>
      </c>
      <c r="J181">
        <f>ROUND(F181+$C$2/2*SIN(D181)*SIN('出力'!$T$132)/SIN(D181-'出力'!$T$132)*E181^2,2)</f>
        <v>361.17</v>
      </c>
      <c r="K181">
        <f>D181-$E$3-'出力'!$T$130-$E$82</f>
        <v>0.31815589566713925</v>
      </c>
      <c r="L181">
        <f>D181-$E$3-'出力'!$T$131-$E$83</f>
        <v>-0.14486232791552933</v>
      </c>
    </row>
    <row r="182" spans="2:12" ht="13.5">
      <c r="B182">
        <f t="shared" si="31"/>
        <v>39.08</v>
      </c>
      <c r="C182">
        <f t="shared" si="32"/>
        <v>51</v>
      </c>
      <c r="D182">
        <f t="shared" si="30"/>
        <v>0.890117918517108</v>
      </c>
      <c r="E182">
        <f>ROUND($C$163*TAN('出力'!$T$131)+('出力'!$T$138+$C$163)/TAN(D182)+'出力'!$T$138*TAN('出力'!$T$130),2)</f>
        <v>2.74</v>
      </c>
      <c r="F182">
        <f>ROUND($C$2/2*((1/TAN(D182)+TAN('出力'!$T$131))*('出力'!$T$138+$C$163)^2+(TAN('出力'!$T$130)-TAN('出力'!$T$131))*'出力'!$T$138^2),2)</f>
        <v>217.59</v>
      </c>
      <c r="G182">
        <f>IF('出力'!$T$43=0,H182,IF(D182&lt;=$C$161,I182,J182))</f>
        <v>244.99</v>
      </c>
      <c r="H182">
        <f>ROUND(F182+E182*'出力'!$T$39,2)</f>
        <v>244.99</v>
      </c>
      <c r="I182">
        <f>ROUND(F182+$C$2/2*(2*E182-(1/TAN('出力'!$T$132)-1/TAN(D182))*'出力'!$T$43)+(E182-(1/TAN('出力'!$T$132)-1/TAN(D182))*'出力'!$T$43)*'出力'!$T$39,2)</f>
        <v>299.79</v>
      </c>
      <c r="J182">
        <f>ROUND(F182+$C$2/2*SIN(D182)*SIN('出力'!$T$132)/SIN(D182-'出力'!$T$132)*E182^2,2)</f>
        <v>326.36</v>
      </c>
      <c r="K182">
        <f>D182-$E$3-'出力'!$T$130-$E$82</f>
        <v>0.33560918818708246</v>
      </c>
      <c r="L182">
        <f>D182-$E$3-'出力'!$T$131-$E$83</f>
        <v>-0.12740903539558612</v>
      </c>
    </row>
    <row r="183" spans="2:12" ht="13.5">
      <c r="B183">
        <f t="shared" si="31"/>
        <v>39.08</v>
      </c>
      <c r="C183">
        <f t="shared" si="32"/>
        <v>52</v>
      </c>
      <c r="D183">
        <f t="shared" si="30"/>
        <v>0.9075712110370514</v>
      </c>
      <c r="E183">
        <f>ROUND($C$163*TAN('出力'!$T$131)+('出力'!$T$138+$C$163)/TAN(D183)+'出力'!$T$138*TAN('出力'!$T$130),2)</f>
        <v>2.55</v>
      </c>
      <c r="F183">
        <f>ROUND($C$2/2*((1/TAN(D183)+TAN('出力'!$T$131))*('出力'!$T$138+$C$163)^2+(TAN('出力'!$T$130)-TAN('出力'!$T$131))*'出力'!$T$138^2),2)</f>
        <v>205.13</v>
      </c>
      <c r="G183">
        <f>IF('出力'!$T$43=0,H183,IF(D183&lt;=$C$161,I183,J183))</f>
        <v>230.63</v>
      </c>
      <c r="H183">
        <f>ROUND(F183+E183*'出力'!$T$39,2)</f>
        <v>230.63</v>
      </c>
      <c r="I183">
        <f>ROUND(F183+$C$2/2*(2*E183-(1/TAN('出力'!$T$132)-1/TAN(D183))*'出力'!$T$43)+(E183-(1/TAN('出力'!$T$132)-1/TAN(D183))*'出力'!$T$43)*'出力'!$T$39,2)</f>
        <v>281.63</v>
      </c>
      <c r="J183">
        <f>ROUND(F183+$C$2/2*SIN(D183)*SIN('出力'!$T$132)/SIN(D183-'出力'!$T$132)*E183^2,2)</f>
        <v>295.6</v>
      </c>
      <c r="K183">
        <f>D183-$E$3-'出力'!$T$130-$E$82</f>
        <v>0.3530624807070259</v>
      </c>
      <c r="L183">
        <f>D183-$E$3-'出力'!$T$131-$E$83</f>
        <v>-0.10995574287564269</v>
      </c>
    </row>
    <row r="184" spans="2:12" ht="13.5">
      <c r="B184">
        <f t="shared" si="31"/>
        <v>38.74</v>
      </c>
      <c r="C184">
        <f t="shared" si="32"/>
        <v>53</v>
      </c>
      <c r="D184">
        <f t="shared" si="30"/>
        <v>0.9250245035569946</v>
      </c>
      <c r="E184">
        <f>ROUND($C$163*TAN('出力'!$T$131)+('出力'!$T$138+$C$163)/TAN(D184)+'出力'!$T$138*TAN('出力'!$T$130),2)</f>
        <v>2.37</v>
      </c>
      <c r="F184">
        <f>ROUND($C$2/2*((1/TAN(D184)+TAN('出力'!$T$131))*('出力'!$T$138+$C$163)^2+(TAN('出力'!$T$130)-TAN('出力'!$T$131))*'出力'!$T$138^2),2)</f>
        <v>193.02</v>
      </c>
      <c r="G184">
        <f>IF('出力'!$T$43=0,H184,IF(D184&lt;=$C$161,I184,J184))</f>
        <v>216.72</v>
      </c>
      <c r="H184">
        <f>ROUND(F184+E184*'出力'!$T$39,2)</f>
        <v>216.72</v>
      </c>
      <c r="I184">
        <f>ROUND(F184+$C$2/2*(2*E184-(1/TAN('出力'!$T$132)-1/TAN(D184))*'出力'!$T$43)+(E184-(1/TAN('出力'!$T$132)-1/TAN(D184))*'出力'!$T$43)*'出力'!$T$39,2)</f>
        <v>264.12</v>
      </c>
      <c r="J184">
        <f>ROUND(F184+$C$2/2*SIN(D184)*SIN('出力'!$T$132)/SIN(D184-'出力'!$T$132)*E184^2,2)</f>
        <v>268.27</v>
      </c>
      <c r="K184">
        <f>D184-$E$3-'出力'!$T$130-$E$82</f>
        <v>0.3705157732269691</v>
      </c>
      <c r="L184">
        <f>D184-$E$3-'出力'!$T$131-$E$83</f>
        <v>-0.09250245035569948</v>
      </c>
    </row>
    <row r="185" spans="2:12" ht="13.5">
      <c r="B185">
        <f t="shared" si="31"/>
        <v>38.04</v>
      </c>
      <c r="C185">
        <f t="shared" si="32"/>
        <v>54</v>
      </c>
      <c r="D185">
        <f t="shared" si="30"/>
        <v>0.9424777960769379</v>
      </c>
      <c r="E185">
        <f>ROUND($C$163*TAN('出力'!$T$131)+('出力'!$T$138+$C$163)/TAN(D185)+'出力'!$T$138*TAN('出力'!$T$130),2)</f>
        <v>2.19</v>
      </c>
      <c r="F185">
        <f>ROUND($C$2/2*((1/TAN(D185)+TAN('出力'!$T$131))*('出力'!$T$138+$C$163)^2+(TAN('出力'!$T$130)-TAN('出力'!$T$131))*'出力'!$T$138^2),2)</f>
        <v>181.22</v>
      </c>
      <c r="G185">
        <f>IF('出力'!$T$43=0,H185,IF(D185&lt;=$C$161,I185,J185))</f>
        <v>203.12</v>
      </c>
      <c r="H185">
        <f>ROUND(F185+E185*'出力'!$T$39,2)</f>
        <v>203.12</v>
      </c>
      <c r="I185">
        <f>ROUND(F185+$C$2/2*(2*E185-(1/TAN('出力'!$T$132)-1/TAN(D185))*'出力'!$T$43)+(E185-(1/TAN('出力'!$T$132)-1/TAN(D185))*'出力'!$T$43)*'出力'!$T$39,2)</f>
        <v>246.92</v>
      </c>
      <c r="J185">
        <f>ROUND(F185+$C$2/2*SIN(D185)*SIN('出力'!$T$132)/SIN(D185-'出力'!$T$132)*E185^2,2)</f>
        <v>243.23</v>
      </c>
      <c r="K185">
        <f>D185-$E$3-'出力'!$T$130-$E$82</f>
        <v>0.3879690657469124</v>
      </c>
      <c r="L185">
        <f>D185-$E$3-'出力'!$T$131-$E$83</f>
        <v>-0.07504915783575616</v>
      </c>
    </row>
    <row r="186" spans="2:12" ht="13.5">
      <c r="B186">
        <f t="shared" si="31"/>
        <v>37.02</v>
      </c>
      <c r="C186">
        <f t="shared" si="32"/>
        <v>55</v>
      </c>
      <c r="D186">
        <f t="shared" si="30"/>
        <v>0.9599310885968813</v>
      </c>
      <c r="E186">
        <f>ROUND($C$163*TAN('出力'!$T$131)+('出力'!$T$138+$C$163)/TAN(D186)+'出力'!$T$138*TAN('出力'!$T$130),2)</f>
        <v>2.02</v>
      </c>
      <c r="F186">
        <f>ROUND($C$2/2*((1/TAN(D186)+TAN('出力'!$T$131))*('出力'!$T$138+$C$163)^2+(TAN('出力'!$T$130)-TAN('出力'!$T$131))*'出力'!$T$138^2),2)</f>
        <v>169.71</v>
      </c>
      <c r="G186">
        <f>IF('出力'!$T$43=0,H186,IF(D186&lt;=$C$161,I186,J186))</f>
        <v>189.91</v>
      </c>
      <c r="H186">
        <f>ROUND(F186+E186*'出力'!$T$39,2)</f>
        <v>189.91</v>
      </c>
      <c r="I186">
        <f>ROUND(F186+$C$2/2*(2*E186-(1/TAN('出力'!$T$132)-1/TAN(D186))*'出力'!$T$43)+(E186-(1/TAN('出力'!$T$132)-1/TAN(D186))*'出力'!$T$43)*'出力'!$T$39,2)</f>
        <v>230.31</v>
      </c>
      <c r="J186">
        <f>ROUND(F186+$C$2/2*SIN(D186)*SIN('出力'!$T$132)/SIN(D186-'出力'!$T$132)*E186^2,2)</f>
        <v>220.73</v>
      </c>
      <c r="K186">
        <f>D186-$E$3-'出力'!$T$130-$E$82</f>
        <v>0.40542235826685574</v>
      </c>
      <c r="L186">
        <f>D186-$E$3-'出力'!$T$131-$E$83</f>
        <v>-0.057595865315812844</v>
      </c>
    </row>
    <row r="187" spans="2:12" ht="13.5">
      <c r="B187">
        <f t="shared" si="31"/>
        <v>35.68</v>
      </c>
      <c r="C187">
        <f t="shared" si="32"/>
        <v>56</v>
      </c>
      <c r="D187">
        <f t="shared" si="30"/>
        <v>0.9773843811168246</v>
      </c>
      <c r="E187">
        <f>ROUND($C$163*TAN('出力'!$T$131)+('出力'!$T$138+$C$163)/TAN(D187)+'出力'!$T$138*TAN('出力'!$T$130),2)</f>
        <v>1.85</v>
      </c>
      <c r="F187">
        <f>ROUND($C$2/2*((1/TAN(D187)+TAN('出力'!$T$131))*('出力'!$T$138+$C$163)^2+(TAN('出力'!$T$130)-TAN('出力'!$T$131))*'出力'!$T$138^2),2)</f>
        <v>158.48</v>
      </c>
      <c r="G187">
        <f>IF('出力'!$T$43=0,H187,IF(D187&lt;=$C$161,I187,J187))</f>
        <v>176.98</v>
      </c>
      <c r="H187">
        <f>ROUND(F187+E187*'出力'!$T$39,2)</f>
        <v>176.98</v>
      </c>
      <c r="I187">
        <f>ROUND(F187+$C$2/2*(2*E187-(1/TAN('出力'!$T$132)-1/TAN(D187))*'出力'!$T$43)+(E187-(1/TAN('出力'!$T$132)-1/TAN(D187))*'出力'!$T$43)*'出力'!$T$39,2)</f>
        <v>213.98</v>
      </c>
      <c r="J187">
        <f>ROUND(F187+$C$2/2*SIN(D187)*SIN('出力'!$T$132)/SIN(D187-'出力'!$T$132)*E187^2,2)</f>
        <v>199.94</v>
      </c>
      <c r="K187">
        <f>D187-$E$3-'出力'!$T$130-$E$82</f>
        <v>0.42287565078679906</v>
      </c>
      <c r="L187">
        <f>D187-$E$3-'出力'!$T$131-$E$83</f>
        <v>-0.040142572795869524</v>
      </c>
    </row>
    <row r="188" spans="2:12" ht="13.5">
      <c r="B188">
        <f t="shared" si="31"/>
        <v>34.01</v>
      </c>
      <c r="C188">
        <f t="shared" si="32"/>
        <v>57</v>
      </c>
      <c r="D188">
        <f t="shared" si="30"/>
        <v>0.9948376736367678</v>
      </c>
      <c r="E188">
        <f>ROUND($C$163*TAN('出力'!$T$131)+('出力'!$T$138+$C$163)/TAN(D188)+'出力'!$T$138*TAN('出力'!$T$130),2)</f>
        <v>1.68</v>
      </c>
      <c r="F188">
        <f>ROUND($C$2/2*((1/TAN(D188)+TAN('出力'!$T$131))*('出力'!$T$138+$C$163)^2+(TAN('出力'!$T$130)-TAN('出力'!$T$131))*'出力'!$T$138^2),2)</f>
        <v>147.51</v>
      </c>
      <c r="G188">
        <f>IF('出力'!$T$43=0,H188,IF(D188&lt;=$C$161,I188,J188))</f>
        <v>164.31</v>
      </c>
      <c r="H188">
        <f>ROUND(F188+E188*'出力'!$T$39,2)</f>
        <v>164.31</v>
      </c>
      <c r="I188">
        <f>ROUND(F188+$C$2/2*(2*E188-(1/TAN('出力'!$T$132)-1/TAN(D188))*'出力'!$T$43)+(E188-(1/TAN('出力'!$T$132)-1/TAN(D188))*'出力'!$T$43)*'出力'!$T$39,2)</f>
        <v>197.91</v>
      </c>
      <c r="J188">
        <f>ROUND(F188+$C$2/2*SIN(D188)*SIN('出力'!$T$132)/SIN(D188-'出力'!$T$132)*E188^2,2)</f>
        <v>180.69</v>
      </c>
      <c r="K188">
        <f>D188-$E$3-'出力'!$T$130-$E$82</f>
        <v>0.44032894330674227</v>
      </c>
      <c r="L188">
        <f>D188-$E$3-'出力'!$T$131-$E$83</f>
        <v>-0.022689280275926316</v>
      </c>
    </row>
    <row r="189" spans="2:12" ht="13.5">
      <c r="B189">
        <f t="shared" si="31"/>
        <v>32.06</v>
      </c>
      <c r="C189">
        <f t="shared" si="32"/>
        <v>58</v>
      </c>
      <c r="D189">
        <f t="shared" si="30"/>
        <v>1.0122909661567112</v>
      </c>
      <c r="E189">
        <f>ROUND($C$163*TAN('出力'!$T$131)+('出力'!$T$138+$C$163)/TAN(D189)+'出力'!$T$138*TAN('出力'!$T$130),2)</f>
        <v>1.52</v>
      </c>
      <c r="F189">
        <f>ROUND($C$2/2*((1/TAN(D189)+TAN('出力'!$T$131))*('出力'!$T$138+$C$163)^2+(TAN('出力'!$T$130)-TAN('出力'!$T$131))*'出力'!$T$138^2),2)</f>
        <v>136.79</v>
      </c>
      <c r="G189">
        <f>IF('出力'!$T$43=0,H189,IF(D189&lt;=$C$161,I189,J189))</f>
        <v>151.99</v>
      </c>
      <c r="H189">
        <f>ROUND(F189+E189*'出力'!$T$39,2)</f>
        <v>151.99</v>
      </c>
      <c r="I189">
        <f>ROUND(F189+$C$2/2*(2*E189-(1/TAN('出力'!$T$132)-1/TAN(D189))*'出力'!$T$43)+(E189-(1/TAN('出力'!$T$132)-1/TAN(D189))*'出力'!$T$43)*'出力'!$T$39,2)</f>
        <v>182.39</v>
      </c>
      <c r="J189">
        <f>ROUND(F189+$C$2/2*SIN(D189)*SIN('出力'!$T$132)/SIN(D189-'出力'!$T$132)*E189^2,2)</f>
        <v>163.19</v>
      </c>
      <c r="K189">
        <f>D189-$E$3-'出力'!$T$130-$E$82</f>
        <v>0.4577822358266857</v>
      </c>
      <c r="L189">
        <f>D189-$E$3-'出力'!$T$131-$E$83</f>
        <v>-0.005235987755982885</v>
      </c>
    </row>
    <row r="190" spans="2:12" ht="13.5">
      <c r="B190">
        <f t="shared" si="31"/>
        <v>29.82</v>
      </c>
      <c r="C190">
        <f t="shared" si="32"/>
        <v>59</v>
      </c>
      <c r="D190">
        <f t="shared" si="30"/>
        <v>1.0297442586766543</v>
      </c>
      <c r="E190">
        <f>ROUND($C$163*TAN('出力'!$T$131)+('出力'!$T$138+$C$163)/TAN(D190)+'出力'!$T$138*TAN('出力'!$T$130),2)</f>
        <v>1.36</v>
      </c>
      <c r="F190">
        <f>ROUND($C$2/2*((1/TAN(D190)+TAN('出力'!$T$131))*('出力'!$T$138+$C$163)^2+(TAN('出力'!$T$130)-TAN('出力'!$T$131))*'出力'!$T$138^2),2)</f>
        <v>126.3</v>
      </c>
      <c r="G190">
        <f>IF('出力'!$T$43=0,H190,IF(D190&lt;=$C$161,I190,J190))</f>
        <v>139.9</v>
      </c>
      <c r="H190">
        <f>ROUND(F190+E190*'出力'!$T$39,2)</f>
        <v>139.9</v>
      </c>
      <c r="I190">
        <f>ROUND(F190+$C$2/2*(2*E190-(1/TAN('出力'!$T$132)-1/TAN(D190))*'出力'!$T$43)+(E190-(1/TAN('出力'!$T$132)-1/TAN(D190))*'出力'!$T$43)*'出力'!$T$39,2)</f>
        <v>167.1</v>
      </c>
      <c r="J190">
        <f>ROUND(F190+$C$2/2*SIN(D190)*SIN('出力'!$T$132)/SIN(D190-'出力'!$T$132)*E190^2,2)</f>
        <v>146.87</v>
      </c>
      <c r="K190">
        <f>D190-$E$3-'出力'!$T$130-$E$82</f>
        <v>0.4752355283466288</v>
      </c>
      <c r="L190">
        <f>D190-$E$3-'出力'!$T$131-$E$83</f>
        <v>0.012217304763960213</v>
      </c>
    </row>
    <row r="191" spans="2:12" ht="13.5">
      <c r="B191">
        <f t="shared" si="31"/>
        <v>27.32</v>
      </c>
      <c r="C191">
        <f t="shared" si="32"/>
        <v>60</v>
      </c>
      <c r="D191">
        <f t="shared" si="30"/>
        <v>1.0471975511965976</v>
      </c>
      <c r="E191">
        <f>ROUND($C$163*TAN('出力'!$T$131)+('出力'!$T$138+$C$163)/TAN(D191)+'出力'!$T$138*TAN('出力'!$T$130),2)</f>
        <v>1.21</v>
      </c>
      <c r="F191">
        <f>ROUND($C$2/2*((1/TAN(D191)+TAN('出力'!$T$131))*('出力'!$T$138+$C$163)^2+(TAN('出力'!$T$130)-TAN('出力'!$T$131))*'出力'!$T$138^2),2)</f>
        <v>116.03</v>
      </c>
      <c r="G191">
        <f>IF('出力'!$T$43=0,H191,IF(D191&lt;=$C$161,I191,J191))</f>
        <v>128.13</v>
      </c>
      <c r="H191">
        <f>ROUND(F191+E191*'出力'!$T$39,2)</f>
        <v>128.13</v>
      </c>
      <c r="I191">
        <f>ROUND(F191+$C$2/2*(2*E191-(1/TAN('出力'!$T$132)-1/TAN(D191))*'出力'!$T$43)+(E191-(1/TAN('出力'!$T$132)-1/TAN(D191))*'出力'!$T$43)*'出力'!$T$39,2)</f>
        <v>152.33</v>
      </c>
      <c r="J191">
        <f>ROUND(F191+$C$2/2*SIN(D191)*SIN('出力'!$T$132)/SIN(D191-'出力'!$T$132)*E191^2,2)</f>
        <v>131.9</v>
      </c>
      <c r="K191">
        <f>D191-$E$3-'出力'!$T$130-$E$82</f>
        <v>0.4926888208665721</v>
      </c>
      <c r="L191">
        <f>D191-$E$3-'出力'!$T$131-$E$83</f>
        <v>0.029670597283903533</v>
      </c>
    </row>
    <row r="192" spans="2:12" ht="13.5">
      <c r="B192">
        <f t="shared" si="31"/>
        <v>24.5</v>
      </c>
      <c r="C192">
        <f t="shared" si="32"/>
        <v>61</v>
      </c>
      <c r="D192">
        <f t="shared" si="30"/>
        <v>1.064650843716541</v>
      </c>
      <c r="E192">
        <f>ROUND($C$163*TAN('出力'!$T$131)+('出力'!$T$138+$C$163)/TAN(D192)+'出力'!$T$138*TAN('出力'!$T$130),2)</f>
        <v>1.05</v>
      </c>
      <c r="F192">
        <f>ROUND($C$2/2*((1/TAN(D192)+TAN('出力'!$T$131))*('出力'!$T$138+$C$163)^2+(TAN('出力'!$T$130)-TAN('出力'!$T$131))*'出力'!$T$138^2),2)</f>
        <v>105.96</v>
      </c>
      <c r="G192">
        <f>IF('出力'!$T$43=0,H192,IF(D192&lt;=$C$161,I192,J192))</f>
        <v>116.46</v>
      </c>
      <c r="H192">
        <f>ROUND(F192+E192*'出力'!$T$39,2)</f>
        <v>116.46</v>
      </c>
      <c r="I192">
        <f>ROUND(F192+$C$2/2*(2*E192-(1/TAN('出力'!$T$132)-1/TAN(D192))*'出力'!$T$43)+(E192-(1/TAN('出力'!$T$132)-1/TAN(D192))*'出力'!$T$43)*'出力'!$T$39,2)</f>
        <v>137.46</v>
      </c>
      <c r="J192">
        <f>ROUND(F192+$C$2/2*SIN(D192)*SIN('出力'!$T$132)/SIN(D192-'出力'!$T$132)*E192^2,2)</f>
        <v>117.62</v>
      </c>
      <c r="K192">
        <f>D192-$E$3-'出力'!$T$130-$E$82</f>
        <v>0.5101421133865154</v>
      </c>
      <c r="L192">
        <f>D192-$E$3-'出力'!$T$131-$E$83</f>
        <v>0.04712388980384685</v>
      </c>
    </row>
    <row r="193" spans="2:12" ht="13.5">
      <c r="B193">
        <f t="shared" si="31"/>
        <v>21.44</v>
      </c>
      <c r="C193">
        <f t="shared" si="32"/>
        <v>62</v>
      </c>
      <c r="D193">
        <f t="shared" si="30"/>
        <v>1.0821041362364843</v>
      </c>
      <c r="E193">
        <f>ROUND($C$163*TAN('出力'!$T$131)+('出力'!$T$138+$C$163)/TAN(D193)+'出力'!$T$138*TAN('出力'!$T$130),2)</f>
        <v>0.9</v>
      </c>
      <c r="F193">
        <f>ROUND($C$2/2*((1/TAN(D193)+TAN('出力'!$T$131))*('出力'!$T$138+$C$163)^2+(TAN('出力'!$T$130)-TAN('出力'!$T$131))*'出力'!$T$138^2),2)</f>
        <v>96.09</v>
      </c>
      <c r="G193">
        <f>IF('出力'!$T$43=0,H193,IF(D193&lt;=$C$161,I193,J193))</f>
        <v>105.09</v>
      </c>
      <c r="H193">
        <f>ROUND(F193+E193*'出力'!$T$39,2)</f>
        <v>105.09</v>
      </c>
      <c r="I193">
        <f>ROUND(F193+$C$2/2*(2*E193-(1/TAN('出力'!$T$132)-1/TAN(D193))*'出力'!$T$43)+(E193-(1/TAN('出力'!$T$132)-1/TAN(D193))*'出力'!$T$43)*'出力'!$T$39,2)</f>
        <v>123.09</v>
      </c>
      <c r="J193">
        <f>ROUND(F193+$C$2/2*SIN(D193)*SIN('出力'!$T$132)/SIN(D193-'出力'!$T$132)*E193^2,2)</f>
        <v>104.46</v>
      </c>
      <c r="K193">
        <f>D193-$E$3-'出力'!$T$130-$E$82</f>
        <v>0.5275954059064587</v>
      </c>
      <c r="L193">
        <f>D193-$E$3-'出力'!$T$131-$E$83</f>
        <v>0.06457718232379017</v>
      </c>
    </row>
    <row r="194" spans="2:12" ht="13.5">
      <c r="B194">
        <f t="shared" si="31"/>
        <v>18.14</v>
      </c>
      <c r="C194">
        <f t="shared" si="32"/>
        <v>63</v>
      </c>
      <c r="D194">
        <f t="shared" si="30"/>
        <v>1.0995574287564276</v>
      </c>
      <c r="E194">
        <f>ROUND($C$163*TAN('出力'!$T$131)+('出力'!$T$138+$C$163)/TAN(D194)+'出力'!$T$138*TAN('出力'!$T$130),2)</f>
        <v>0.76</v>
      </c>
      <c r="F194">
        <f>ROUND($C$2/2*((1/TAN(D194)+TAN('出力'!$T$131))*('出力'!$T$138+$C$163)^2+(TAN('出力'!$T$130)-TAN('出力'!$T$131))*'出力'!$T$138^2),2)</f>
        <v>86.4</v>
      </c>
      <c r="G194">
        <f>IF('出力'!$T$43=0,H194,IF(D194&lt;=$C$161,I194,J194))</f>
        <v>94</v>
      </c>
      <c r="H194">
        <f>ROUND(F194+E194*'出力'!$T$39,2)</f>
        <v>94</v>
      </c>
      <c r="I194">
        <f>ROUND(F194+$C$2/2*(2*E194-(1/TAN('出力'!$T$132)-1/TAN(D194))*'出力'!$T$43)+(E194-(1/TAN('出力'!$T$132)-1/TAN(D194))*'出力'!$T$43)*'出力'!$T$39,2)</f>
        <v>109.2</v>
      </c>
      <c r="J194">
        <f>ROUND(F194+$C$2/2*SIN(D194)*SIN('出力'!$T$132)/SIN(D194-'出力'!$T$132)*E194^2,2)</f>
        <v>92.23</v>
      </c>
      <c r="K194">
        <f>D194-$E$3-'出力'!$T$130-$E$82</f>
        <v>0.545048698426402</v>
      </c>
      <c r="L194">
        <f>D194-$E$3-'出力'!$T$131-$E$83</f>
        <v>0.08203047484373349</v>
      </c>
    </row>
    <row r="195" spans="2:12" ht="13.5">
      <c r="B195">
        <f t="shared" si="31"/>
        <v>14.53</v>
      </c>
      <c r="C195">
        <f t="shared" si="32"/>
        <v>64</v>
      </c>
      <c r="D195">
        <f t="shared" si="30"/>
        <v>1.117010721276371</v>
      </c>
      <c r="E195">
        <f>ROUND($C$163*TAN('出力'!$T$131)+('出力'!$T$138+$C$163)/TAN(D195)+'出力'!$T$138*TAN('出力'!$T$130),2)</f>
        <v>0.61</v>
      </c>
      <c r="F195">
        <f>ROUND($C$2/2*((1/TAN(D195)+TAN('出力'!$T$131))*('出力'!$T$138+$C$163)^2+(TAN('出力'!$T$130)-TAN('出力'!$T$131))*'出力'!$T$138^2),2)</f>
        <v>76.87</v>
      </c>
      <c r="G195">
        <f>IF('出力'!$T$43=0,H195,IF(D195&lt;=$C$161,I195,J195))</f>
        <v>82.97</v>
      </c>
      <c r="H195">
        <f>ROUND(F195+E195*'出力'!$T$39,2)</f>
        <v>82.97</v>
      </c>
      <c r="I195">
        <f>ROUND(F195+$C$2/2*(2*E195-(1/TAN('出力'!$T$132)-1/TAN(D195))*'出力'!$T$43)+(E195-(1/TAN('出力'!$T$132)-1/TAN(D195))*'出力'!$T$43)*'出力'!$T$39,2)</f>
        <v>95.17</v>
      </c>
      <c r="J195">
        <f>ROUND(F195+$C$2/2*SIN(D195)*SIN('出力'!$T$132)/SIN(D195-'出力'!$T$132)*E195^2,2)</f>
        <v>80.55</v>
      </c>
      <c r="K195">
        <f>D195-$E$3-'出力'!$T$130-$E$82</f>
        <v>0.5625019909463453</v>
      </c>
      <c r="L195">
        <f>D195-$E$3-'出力'!$T$131-$E$83</f>
        <v>0.09948376736367681</v>
      </c>
    </row>
    <row r="196" spans="2:12" ht="13.5">
      <c r="B196">
        <f t="shared" si="31"/>
        <v>10.7</v>
      </c>
      <c r="C196">
        <f t="shared" si="32"/>
        <v>65</v>
      </c>
      <c r="D196">
        <f t="shared" si="30"/>
        <v>1.1344640137963142</v>
      </c>
      <c r="E196">
        <f>ROUND($C$163*TAN('出力'!$T$131)+('出力'!$T$138+$C$163)/TAN(D196)+'出力'!$T$138*TAN('出力'!$T$130),2)</f>
        <v>0.47</v>
      </c>
      <c r="F196">
        <f>ROUND($C$2/2*((1/TAN(D196)+TAN('出力'!$T$131))*('出力'!$T$138+$C$163)^2+(TAN('出力'!$T$130)-TAN('出力'!$T$131))*'出力'!$T$138^2),2)</f>
        <v>67.51</v>
      </c>
      <c r="G196">
        <f>IF('出力'!$T$43=0,H196,IF(D196&lt;=$C$161,I196,J196))</f>
        <v>72.21</v>
      </c>
      <c r="H196">
        <f>ROUND(F196+E196*'出力'!$T$39,2)</f>
        <v>72.21</v>
      </c>
      <c r="I196">
        <f>ROUND(F196+$C$2/2*(2*E196-(1/TAN('出力'!$T$132)-1/TAN(D196))*'出力'!$T$43)+(E196-(1/TAN('出力'!$T$132)-1/TAN(D196))*'出力'!$T$43)*'出力'!$T$39,2)</f>
        <v>81.61</v>
      </c>
      <c r="J196">
        <f>ROUND(F196+$C$2/2*SIN(D196)*SIN('出力'!$T$132)/SIN(D196-'出力'!$T$132)*E196^2,2)</f>
        <v>69.65</v>
      </c>
      <c r="K196">
        <f>D196-$E$3-'出力'!$T$130-$E$82</f>
        <v>0.5799552834662887</v>
      </c>
      <c r="L196">
        <f>D196-$E$3-'出力'!$T$131-$E$83</f>
        <v>0.11693705988362013</v>
      </c>
    </row>
    <row r="197" spans="2:12" ht="13.5">
      <c r="B197">
        <f t="shared" si="31"/>
        <v>6.6</v>
      </c>
      <c r="C197">
        <f t="shared" si="32"/>
        <v>66</v>
      </c>
      <c r="D197">
        <f t="shared" si="30"/>
        <v>1.1519173063162575</v>
      </c>
      <c r="E197">
        <f>ROUND($C$163*TAN('出力'!$T$131)+('出力'!$T$138+$C$163)/TAN(D197)+'出力'!$T$138*TAN('出力'!$T$130),2)</f>
        <v>0.33</v>
      </c>
      <c r="F197">
        <f>ROUND($C$2/2*((1/TAN(D197)+TAN('出力'!$T$131))*('出力'!$T$138+$C$163)^2+(TAN('出力'!$T$130)-TAN('出力'!$T$131))*'出力'!$T$138^2),2)</f>
        <v>58.3</v>
      </c>
      <c r="G197">
        <f>IF('出力'!$T$43=0,H197,IF(D197&lt;=$C$161,I197,J197))</f>
        <v>61.6</v>
      </c>
      <c r="H197">
        <f>ROUND(F197+E197*'出力'!$T$39,2)</f>
        <v>61.6</v>
      </c>
      <c r="I197">
        <f>ROUND(F197+$C$2/2*(2*E197-(1/TAN('出力'!$T$132)-1/TAN(D197))*'出力'!$T$43)+(E197-(1/TAN('出力'!$T$132)-1/TAN(D197))*'出力'!$T$43)*'出力'!$T$39,2)</f>
        <v>68.2</v>
      </c>
      <c r="J197">
        <f>ROUND(F197+$C$2/2*SIN(D197)*SIN('出力'!$T$132)/SIN(D197-'出力'!$T$132)*E197^2,2)</f>
        <v>59.33</v>
      </c>
      <c r="K197">
        <f>D197-$E$3-'出力'!$T$130-$E$82</f>
        <v>0.597408575986232</v>
      </c>
      <c r="L197">
        <f>D197-$E$3-'出力'!$T$131-$E$83</f>
        <v>0.13439035240356345</v>
      </c>
    </row>
    <row r="198" spans="2:12" ht="13.5">
      <c r="B198">
        <f t="shared" si="31"/>
        <v>2.3</v>
      </c>
      <c r="C198">
        <f t="shared" si="32"/>
        <v>67</v>
      </c>
      <c r="D198">
        <f t="shared" si="30"/>
        <v>1.1693705988362006</v>
      </c>
      <c r="E198">
        <f>ROUND($C$163*TAN('出力'!$T$131)+('出力'!$T$138+$C$163)/TAN(D198)+'出力'!$T$138*TAN('出力'!$T$130),2)</f>
        <v>0.2</v>
      </c>
      <c r="F198">
        <f>ROUND($C$2/2*((1/TAN(D198)+TAN('出力'!$T$131))*('出力'!$T$138+$C$163)^2+(TAN('出力'!$T$130)-TAN('出力'!$T$131))*'出力'!$T$138^2),2)</f>
        <v>49.24</v>
      </c>
      <c r="G198">
        <f>IF('出力'!$T$43=0,H198,IF(D198&lt;=$C$161,I198,J198))</f>
        <v>51.24</v>
      </c>
      <c r="H198">
        <f>ROUND(F198+E198*'出力'!$T$39,2)</f>
        <v>51.24</v>
      </c>
      <c r="I198">
        <f>ROUND(F198+$C$2/2*(2*E198-(1/TAN('出力'!$T$132)-1/TAN(D198))*'出力'!$T$43)+(E198-(1/TAN('出力'!$T$132)-1/TAN(D198))*'出力'!$T$43)*'出力'!$T$39,2)</f>
        <v>55.24</v>
      </c>
      <c r="J198">
        <f>ROUND(F198+$C$2/2*SIN(D198)*SIN('出力'!$T$132)/SIN(D198-'出力'!$T$132)*E198^2,2)</f>
        <v>49.61</v>
      </c>
      <c r="K198">
        <f>D198-$E$3-'出力'!$T$130-$E$82</f>
        <v>0.6148618685061751</v>
      </c>
      <c r="L198">
        <f>D198-$E$3-'出力'!$T$131-$E$83</f>
        <v>0.15184364492350655</v>
      </c>
    </row>
    <row r="199" spans="2:12" ht="13.5">
      <c r="B199">
        <f>ROUND((G199/COS($C$4)*SIN(D199-$E$3-$C$4)-$C$60*COS(K199))/COS(L199),2)</f>
        <v>-2.33</v>
      </c>
      <c r="C199">
        <f t="shared" si="32"/>
        <v>68</v>
      </c>
      <c r="D199">
        <f t="shared" si="30"/>
        <v>1.1868238913561442</v>
      </c>
      <c r="E199">
        <f>ROUND($C$163*TAN('出力'!$T$131)+('出力'!$T$138+$C$163)/TAN(D199)+'出力'!$T$138*TAN('出力'!$T$130),2)</f>
        <v>0.06</v>
      </c>
      <c r="F199">
        <f>ROUND($C$2/2*((1/TAN(D199)+TAN('出力'!$T$131))*('出力'!$T$138+$C$163)^2+(TAN('出力'!$T$130)-TAN('出力'!$T$131))*'出力'!$T$138^2),2)</f>
        <v>40.3</v>
      </c>
      <c r="G199">
        <f>IF('出力'!$T$43=0,H199,IF(D199&lt;=$C$161,I199,J199))</f>
        <v>40.9</v>
      </c>
      <c r="H199">
        <f>ROUND(F199+E199*'出力'!$T$39,2)</f>
        <v>40.9</v>
      </c>
      <c r="I199">
        <f>ROUND(F199+$C$2/2*(2*E199-(1/TAN('出力'!$T$132)-1/TAN(D199))*'出力'!$T$43)+(E199-(1/TAN('出力'!$T$132)-1/TAN(D199))*'出力'!$T$43)*'出力'!$T$39,2)</f>
        <v>42.1</v>
      </c>
      <c r="J199">
        <f>ROUND(F199+$C$2/2*SIN(D199)*SIN('出力'!$T$132)/SIN(D199-'出力'!$T$132)*E199^2,2)</f>
        <v>40.33</v>
      </c>
      <c r="K199">
        <f>D199-$E$3-'出力'!$T$130-$E$82</f>
        <v>0.6323151610261186</v>
      </c>
      <c r="L199">
        <f>D199-$E$3-'出力'!$T$131-$E$83</f>
        <v>0.1692969374434501</v>
      </c>
    </row>
    <row r="200" spans="2:12" ht="13.5">
      <c r="B200">
        <f t="shared" si="31"/>
        <v>-7.16</v>
      </c>
      <c r="C200">
        <f t="shared" si="32"/>
        <v>69</v>
      </c>
      <c r="D200">
        <f t="shared" si="30"/>
        <v>1.2042771838760873</v>
      </c>
      <c r="E200">
        <f>ROUND($C$163*TAN('出力'!$T$131)+('出力'!$T$138+$C$163)/TAN(D200)+'出力'!$T$138*TAN('出力'!$T$130),2)</f>
        <v>-0.07</v>
      </c>
      <c r="F200">
        <f>ROUND($C$2/2*((1/TAN(D200)+TAN('出力'!$T$131))*('出力'!$T$138+$C$163)^2+(TAN('出力'!$T$130)-TAN('出力'!$T$131))*'出力'!$T$138^2),2)</f>
        <v>31.49</v>
      </c>
      <c r="G200">
        <f>IF('出力'!$T$43=0,H200,IF(D200&lt;=$C$161,I200,J200))</f>
        <v>30.79</v>
      </c>
      <c r="H200">
        <f>ROUND(F200+E200*'出力'!$T$39,2)</f>
        <v>30.79</v>
      </c>
      <c r="I200">
        <f>ROUND(F200+$C$2/2*(2*E200-(1/TAN('出力'!$T$132)-1/TAN(D200))*'出力'!$T$43)+(E200-(1/TAN('出力'!$T$132)-1/TAN(D200))*'出力'!$T$43)*'出力'!$T$39,2)</f>
        <v>29.39</v>
      </c>
      <c r="J200">
        <f>ROUND(F200+$C$2/2*SIN(D200)*SIN('出力'!$T$132)/SIN(D200-'出力'!$T$132)*E200^2,2)</f>
        <v>31.53</v>
      </c>
      <c r="K200">
        <f>D200-$E$3-'出力'!$T$130-$E$82</f>
        <v>0.6497684535460617</v>
      </c>
      <c r="L200">
        <f>D200-$E$3-'出力'!$T$131-$E$83</f>
        <v>0.1867502299633932</v>
      </c>
    </row>
    <row r="201" spans="2:12" ht="13.5">
      <c r="B201">
        <f t="shared" si="31"/>
        <v>-12.25</v>
      </c>
      <c r="C201">
        <f t="shared" si="32"/>
        <v>70</v>
      </c>
      <c r="D201">
        <f t="shared" si="30"/>
        <v>1.2217304763960306</v>
      </c>
      <c r="E201">
        <f>ROUND($C$163*TAN('出力'!$T$131)+('出力'!$T$138+$C$163)/TAN(D201)+'出力'!$T$138*TAN('出力'!$T$130),2)</f>
        <v>-0.2</v>
      </c>
      <c r="F201">
        <f>ROUND($C$2/2*((1/TAN(D201)+TAN('出力'!$T$131))*('出力'!$T$138+$C$163)^2+(TAN('出力'!$T$130)-TAN('出力'!$T$131))*'出力'!$T$138^2),2)</f>
        <v>22.8</v>
      </c>
      <c r="G201">
        <f>IF('出力'!$T$43=0,H201,IF(D201&lt;=$C$161,I201,J201))</f>
        <v>20.8</v>
      </c>
      <c r="H201">
        <f>ROUND(F201+E201*'出力'!$T$39,2)</f>
        <v>20.8</v>
      </c>
      <c r="I201">
        <f>ROUND(F201+$C$2/2*(2*E201-(1/TAN('出力'!$T$132)-1/TAN(D201))*'出力'!$T$43)+(E201-(1/TAN('出力'!$T$132)-1/TAN(D201))*'出力'!$T$43)*'出力'!$T$39,2)</f>
        <v>16.8</v>
      </c>
      <c r="J201">
        <f>ROUND(F201+$C$2/2*SIN(D201)*SIN('出力'!$T$132)/SIN(D201-'出力'!$T$132)*E201^2,2)</f>
        <v>23.15</v>
      </c>
      <c r="K201">
        <f>D201-$E$3-'出力'!$T$130-$E$82</f>
        <v>0.667221746066005</v>
      </c>
      <c r="L201">
        <f>D201-$E$3-'出力'!$T$131-$E$83</f>
        <v>0.2042035224833365</v>
      </c>
    </row>
    <row r="202" spans="2:12" ht="13.5">
      <c r="B202">
        <f t="shared" si="31"/>
        <v>-17.61</v>
      </c>
      <c r="C202">
        <f t="shared" si="32"/>
        <v>71</v>
      </c>
      <c r="D202">
        <f t="shared" si="30"/>
        <v>1.239183768915974</v>
      </c>
      <c r="E202">
        <f>ROUND($C$163*TAN('出力'!$T$131)+('出力'!$T$138+$C$163)/TAN(D202)+'出力'!$T$138*TAN('出力'!$T$130),2)</f>
        <v>-0.33</v>
      </c>
      <c r="F202">
        <f>ROUND($C$2/2*((1/TAN(D202)+TAN('出力'!$T$131))*('出力'!$T$138+$C$163)^2+(TAN('出力'!$T$130)-TAN('出力'!$T$131))*'出力'!$T$138^2),2)</f>
        <v>14.22</v>
      </c>
      <c r="G202">
        <f>IF('出力'!$T$43=0,H202,IF(D202&lt;=$C$161,I202,J202))</f>
        <v>10.92</v>
      </c>
      <c r="H202">
        <f>ROUND(F202+E202*'出力'!$T$39,2)</f>
        <v>10.92</v>
      </c>
      <c r="I202">
        <f>ROUND(F202+$C$2/2*(2*E202-(1/TAN('出力'!$T$132)-1/TAN(D202))*'出力'!$T$43)+(E202-(1/TAN('出力'!$T$132)-1/TAN(D202))*'出力'!$T$43)*'出力'!$T$39,2)</f>
        <v>4.32</v>
      </c>
      <c r="J202">
        <f>ROUND(F202+$C$2/2*SIN(D202)*SIN('出力'!$T$132)/SIN(D202-'出力'!$T$132)*E202^2,2)</f>
        <v>15.16</v>
      </c>
      <c r="K202">
        <f>D202-$E$3-'出力'!$T$130-$E$82</f>
        <v>0.6846750385859484</v>
      </c>
      <c r="L202">
        <f>D202-$E$3-'出力'!$T$131-$E$83</f>
        <v>0.22165681500327983</v>
      </c>
    </row>
    <row r="203" spans="2:12" ht="13.5">
      <c r="B203">
        <f t="shared" si="31"/>
        <v>-23.23</v>
      </c>
      <c r="C203">
        <f t="shared" si="32"/>
        <v>72</v>
      </c>
      <c r="D203">
        <f t="shared" si="30"/>
        <v>1.2566370614359172</v>
      </c>
      <c r="E203">
        <f>ROUND($C$163*TAN('出力'!$T$131)+('出力'!$T$138+$C$163)/TAN(D203)+'出力'!$T$138*TAN('出力'!$T$130),2)</f>
        <v>-0.46</v>
      </c>
      <c r="F203">
        <f>ROUND($C$2/2*((1/TAN(D203)+TAN('出力'!$T$131))*('出力'!$T$138+$C$163)^2+(TAN('出力'!$T$130)-TAN('出力'!$T$131))*'出力'!$T$138^2),2)</f>
        <v>5.74</v>
      </c>
      <c r="G203">
        <f>IF('出力'!$T$43=0,H203,IF(D203&lt;=$C$161,I203,J203))</f>
        <v>1.14</v>
      </c>
      <c r="H203">
        <f>ROUND(F203+E203*'出力'!$T$39,2)</f>
        <v>1.14</v>
      </c>
      <c r="I203">
        <f>ROUND(F203+$C$2/2*(2*E203-(1/TAN('出力'!$T$132)-1/TAN(D203))*'出力'!$T$43)+(E203-(1/TAN('出力'!$T$132)-1/TAN(D203))*'出力'!$T$43)*'出力'!$T$39,2)</f>
        <v>-8.06</v>
      </c>
      <c r="J203">
        <f>ROUND(F203+$C$2/2*SIN(D203)*SIN('出力'!$T$132)/SIN(D203-'出力'!$T$132)*E203^2,2)</f>
        <v>7.54</v>
      </c>
      <c r="K203">
        <f>D203-$E$3-'出力'!$T$130-$E$82</f>
        <v>0.7021283311058917</v>
      </c>
      <c r="L203">
        <f>D203-$E$3-'出力'!$T$131-$E$83</f>
        <v>0.23911010752322315</v>
      </c>
    </row>
    <row r="204" spans="2:12" ht="13.5">
      <c r="B204">
        <f t="shared" si="31"/>
        <v>-29.13</v>
      </c>
      <c r="C204">
        <f t="shared" si="32"/>
        <v>73</v>
      </c>
      <c r="D204">
        <f t="shared" si="30"/>
        <v>1.2740903539558606</v>
      </c>
      <c r="E204">
        <f>ROUND($C$163*TAN('出力'!$T$131)+('出力'!$T$138+$C$163)/TAN(D204)+'出力'!$T$138*TAN('出力'!$T$130),2)</f>
        <v>-0.59</v>
      </c>
      <c r="F204">
        <f>ROUND($C$2/2*((1/TAN(D204)+TAN('出力'!$T$131))*('出力'!$T$138+$C$163)^2+(TAN('出力'!$T$130)-TAN('出力'!$T$131))*'出力'!$T$138^2),2)</f>
        <v>-2.65</v>
      </c>
      <c r="G204">
        <f>IF('出力'!$T$43=0,H204,IF(D204&lt;=$C$161,I204,J204))</f>
        <v>-8.55</v>
      </c>
      <c r="H204">
        <f>ROUND(F204+E204*'出力'!$T$39,2)</f>
        <v>-8.55</v>
      </c>
      <c r="I204">
        <f>ROUND(F204+$C$2/2*(2*E204-(1/TAN('出力'!$T$132)-1/TAN(D204))*'出力'!$T$43)+(E204-(1/TAN('出力'!$T$132)-1/TAN(D204))*'出力'!$T$43)*'出力'!$T$39,2)</f>
        <v>-20.35</v>
      </c>
      <c r="J204">
        <f>ROUND(F204+$C$2/2*SIN(D204)*SIN('出力'!$T$132)/SIN(D204-'出力'!$T$132)*E204^2,2)</f>
        <v>0.26</v>
      </c>
      <c r="K204">
        <f>D204-$E$3-'出力'!$T$130-$E$82</f>
        <v>0.719581623625835</v>
      </c>
      <c r="L204">
        <f>D204-$E$3-'出力'!$T$131-$E$83</f>
        <v>0.25656340004316647</v>
      </c>
    </row>
    <row r="205" spans="2:12" ht="13.5">
      <c r="B205">
        <f t="shared" si="31"/>
        <v>-35.22</v>
      </c>
      <c r="C205">
        <f t="shared" si="32"/>
        <v>74</v>
      </c>
      <c r="D205">
        <f t="shared" si="30"/>
        <v>1.2915436464758039</v>
      </c>
      <c r="E205">
        <f>ROUND($C$163*TAN('出力'!$T$131)+('出力'!$T$138+$C$163)/TAN(D205)+'出力'!$T$138*TAN('出力'!$T$130),2)</f>
        <v>-0.71</v>
      </c>
      <c r="F205">
        <f>ROUND($C$2/2*((1/TAN(D205)+TAN('出力'!$T$131))*('出力'!$T$138+$C$163)^2+(TAN('出力'!$T$130)-TAN('出力'!$T$131))*'出力'!$T$138^2),2)</f>
        <v>-10.94</v>
      </c>
      <c r="G205">
        <f>IF('出力'!$T$43=0,H205,IF(D205&lt;=$C$161,I205,J205))</f>
        <v>-18.04</v>
      </c>
      <c r="H205">
        <f>ROUND(F205+E205*'出力'!$T$39,2)</f>
        <v>-18.04</v>
      </c>
      <c r="I205">
        <f>ROUND(F205+$C$2/2*(2*E205-(1/TAN('出力'!$T$132)-1/TAN(D205))*'出力'!$T$43)+(E205-(1/TAN('出力'!$T$132)-1/TAN(D205))*'出力'!$T$43)*'出力'!$T$39,2)</f>
        <v>-32.24</v>
      </c>
      <c r="J205">
        <f>ROUND(F205+$C$2/2*SIN(D205)*SIN('出力'!$T$132)/SIN(D205-'出力'!$T$132)*E205^2,2)</f>
        <v>-6.79</v>
      </c>
      <c r="K205">
        <f>D205-$E$3-'出力'!$T$130-$E$82</f>
        <v>0.7370349161457783</v>
      </c>
      <c r="L205">
        <f>D205-$E$3-'出力'!$T$131-$E$83</f>
        <v>0.2740166925631098</v>
      </c>
    </row>
    <row r="206" spans="2:12" ht="13.5">
      <c r="B206">
        <f t="shared" si="31"/>
        <v>-41.66</v>
      </c>
      <c r="C206">
        <f t="shared" si="32"/>
        <v>75</v>
      </c>
      <c r="D206">
        <f t="shared" si="30"/>
        <v>1.3089969389957472</v>
      </c>
      <c r="E206">
        <f>ROUND($C$163*TAN('出力'!$T$131)+('出力'!$T$138+$C$163)/TAN(D206)+'出力'!$T$138*TAN('出力'!$T$130),2)</f>
        <v>-0.84</v>
      </c>
      <c r="F206">
        <f>ROUND($C$2/2*((1/TAN(D206)+TAN('出力'!$T$131))*('出力'!$T$138+$C$163)^2+(TAN('出力'!$T$130)-TAN('出力'!$T$131))*'出力'!$T$138^2),2)</f>
        <v>-19.15</v>
      </c>
      <c r="G206">
        <f>IF('出力'!$T$43=0,H206,IF(D206&lt;=$C$161,I206,J206))</f>
        <v>-27.55</v>
      </c>
      <c r="H206">
        <f>ROUND(F206+E206*'出力'!$T$39,2)</f>
        <v>-27.55</v>
      </c>
      <c r="I206">
        <f>ROUND(F206+$C$2/2*(2*E206-(1/TAN('出力'!$T$132)-1/TAN(D206))*'出力'!$T$43)+(E206-(1/TAN('出力'!$T$132)-1/TAN(D206))*'出力'!$T$43)*'出力'!$T$39,2)</f>
        <v>-44.35</v>
      </c>
      <c r="J206">
        <f>ROUND(F206+$C$2/2*SIN(D206)*SIN('出力'!$T$132)/SIN(D206-'出力'!$T$132)*E206^2,2)</f>
        <v>-13.42</v>
      </c>
      <c r="K206">
        <f>D206-$E$3-'出力'!$T$130-$E$82</f>
        <v>0.7544882086657216</v>
      </c>
      <c r="L206">
        <f>D206-$E$3-'出力'!$T$131-$E$83</f>
        <v>0.2914699850830531</v>
      </c>
    </row>
    <row r="207" spans="2:12" ht="13.5">
      <c r="B207">
        <f t="shared" si="31"/>
        <v>-48.32</v>
      </c>
      <c r="C207">
        <f t="shared" si="32"/>
        <v>76</v>
      </c>
      <c r="D207">
        <f t="shared" si="30"/>
        <v>1.3264502315156903</v>
      </c>
      <c r="E207">
        <f>ROUND($C$163*TAN('出力'!$T$131)+('出力'!$T$138+$C$163)/TAN(D207)+'出力'!$T$138*TAN('出力'!$T$130),2)</f>
        <v>-0.96</v>
      </c>
      <c r="F207">
        <f>ROUND($C$2/2*((1/TAN(D207)+TAN('出力'!$T$131))*('出力'!$T$138+$C$163)^2+(TAN('出力'!$T$130)-TAN('出力'!$T$131))*'出力'!$T$138^2),2)</f>
        <v>-27.29</v>
      </c>
      <c r="G207">
        <f>IF('出力'!$T$43=0,H207,IF(D207&lt;=$C$161,I207,J207))</f>
        <v>-36.89</v>
      </c>
      <c r="H207">
        <f>ROUND(F207+E207*'出力'!$T$39,2)</f>
        <v>-36.89</v>
      </c>
      <c r="I207">
        <f>ROUND(F207+$C$2/2*(2*E207-(1/TAN('出力'!$T$132)-1/TAN(D207))*'出力'!$T$43)+(E207-(1/TAN('出力'!$T$132)-1/TAN(D207))*'出力'!$T$43)*'出力'!$T$39,2)</f>
        <v>-56.09</v>
      </c>
      <c r="J207">
        <f>ROUND(F207+$C$2/2*SIN(D207)*SIN('出力'!$T$132)/SIN(D207-'出力'!$T$132)*E207^2,2)</f>
        <v>-19.92</v>
      </c>
      <c r="K207">
        <f>D207-$E$3-'出力'!$T$130-$E$82</f>
        <v>0.7719415011856647</v>
      </c>
      <c r="L207">
        <f>D207-$E$3-'出力'!$T$131-$E$83</f>
        <v>0.3089232776029962</v>
      </c>
    </row>
    <row r="208" spans="2:12" ht="13.5">
      <c r="B208">
        <f t="shared" si="31"/>
        <v>-55.25</v>
      </c>
      <c r="C208">
        <f t="shared" si="32"/>
        <v>77</v>
      </c>
      <c r="D208">
        <f t="shared" si="30"/>
        <v>1.3439035240356338</v>
      </c>
      <c r="E208">
        <f>ROUND($C$163*TAN('出力'!$T$131)+('出力'!$T$138+$C$163)/TAN(D208)+'出力'!$T$138*TAN('出力'!$T$130),2)</f>
        <v>-1.08</v>
      </c>
      <c r="F208">
        <f>ROUND($C$2/2*((1/TAN(D208)+TAN('出力'!$T$131))*('出力'!$T$138+$C$163)^2+(TAN('出力'!$T$130)-TAN('出力'!$T$131))*'出力'!$T$138^2),2)</f>
        <v>-35.35</v>
      </c>
      <c r="G208">
        <f>IF('出力'!$T$43=0,H208,IF(D208&lt;=$C$161,I208,J208))</f>
        <v>-46.15</v>
      </c>
      <c r="H208">
        <f>ROUND(F208+E208*'出力'!$T$39,2)</f>
        <v>-46.15</v>
      </c>
      <c r="I208">
        <f>ROUND(F208+$C$2/2*(2*E208-(1/TAN('出力'!$T$132)-1/TAN(D208))*'出力'!$T$43)+(E208-(1/TAN('出力'!$T$132)-1/TAN(D208))*'出力'!$T$43)*'出力'!$T$39,2)</f>
        <v>-67.75</v>
      </c>
      <c r="J208">
        <f>ROUND(F208+$C$2/2*SIN(D208)*SIN('出力'!$T$132)/SIN(D208-'出力'!$T$132)*E208^2,2)</f>
        <v>-26.16</v>
      </c>
      <c r="K208">
        <f>D208-$E$3-'出力'!$T$130-$E$82</f>
        <v>0.7893947937056083</v>
      </c>
      <c r="L208">
        <f>D208-$E$3-'出力'!$T$131-$E$83</f>
        <v>0.32637657012293975</v>
      </c>
    </row>
    <row r="209" spans="2:12" ht="13.5">
      <c r="B209">
        <f t="shared" si="31"/>
        <v>-62.48</v>
      </c>
      <c r="C209">
        <f t="shared" si="32"/>
        <v>78</v>
      </c>
      <c r="D209">
        <f t="shared" si="30"/>
        <v>1.361356816555577</v>
      </c>
      <c r="E209">
        <f>ROUND($C$163*TAN('出力'!$T$131)+('出力'!$T$138+$C$163)/TAN(D209)+'出力'!$T$138*TAN('出力'!$T$130),2)</f>
        <v>-1.2</v>
      </c>
      <c r="F209">
        <f>ROUND($C$2/2*((1/TAN(D209)+TAN('出力'!$T$131))*('出力'!$T$138+$C$163)^2+(TAN('出力'!$T$130)-TAN('出力'!$T$131))*'出力'!$T$138^2),2)</f>
        <v>-43.36</v>
      </c>
      <c r="G209">
        <f>IF('出力'!$T$43=0,H209,IF(D209&lt;=$C$161,I209,J209))</f>
        <v>-55.36</v>
      </c>
      <c r="H209">
        <f>ROUND(F209+E209*'出力'!$T$39,2)</f>
        <v>-55.36</v>
      </c>
      <c r="I209">
        <f>ROUND(F209+$C$2/2*(2*E209-(1/TAN('出力'!$T$132)-1/TAN(D209))*'出力'!$T$43)+(E209-(1/TAN('出力'!$T$132)-1/TAN(D209))*'出力'!$T$43)*'出力'!$T$39,2)</f>
        <v>-79.36</v>
      </c>
      <c r="J209">
        <f>ROUND(F209+$C$2/2*SIN(D209)*SIN('出力'!$T$132)/SIN(D209-'出力'!$T$132)*E209^2,2)</f>
        <v>-32.18</v>
      </c>
      <c r="K209">
        <f>D209-$E$3-'出力'!$T$130-$E$82</f>
        <v>0.8068480862255514</v>
      </c>
      <c r="L209">
        <f>D209-$E$3-'出力'!$T$131-$E$83</f>
        <v>0.34382986264288284</v>
      </c>
    </row>
    <row r="210" spans="2:12" ht="13.5">
      <c r="B210">
        <f t="shared" si="31"/>
        <v>-70.01</v>
      </c>
      <c r="C210">
        <f t="shared" si="32"/>
        <v>79</v>
      </c>
      <c r="D210">
        <f t="shared" si="30"/>
        <v>1.3788101090755203</v>
      </c>
      <c r="E210">
        <f>ROUND($C$163*TAN('出力'!$T$131)+('出力'!$T$138+$C$163)/TAN(D210)+'出力'!$T$138*TAN('出力'!$T$130),2)</f>
        <v>-1.32</v>
      </c>
      <c r="F210">
        <f>ROUND($C$2/2*((1/TAN(D210)+TAN('出力'!$T$131))*('出力'!$T$138+$C$163)^2+(TAN('出力'!$T$130)-TAN('出力'!$T$131))*'出力'!$T$138^2),2)</f>
        <v>-51.3</v>
      </c>
      <c r="G210">
        <f>IF('出力'!$T$43=0,H210,IF(D210&lt;=$C$161,I210,J210))</f>
        <v>-64.5</v>
      </c>
      <c r="H210">
        <f>ROUND(F210+E210*'出力'!$T$39,2)</f>
        <v>-64.5</v>
      </c>
      <c r="I210">
        <f>ROUND(F210+$C$2/2*(2*E210-(1/TAN('出力'!$T$132)-1/TAN(D210))*'出力'!$T$43)+(E210-(1/TAN('出力'!$T$132)-1/TAN(D210))*'出力'!$T$43)*'出力'!$T$39,2)</f>
        <v>-90.9</v>
      </c>
      <c r="J210">
        <f>ROUND(F210+$C$2/2*SIN(D210)*SIN('出力'!$T$132)/SIN(D210-'出力'!$T$132)*E210^2,2)</f>
        <v>-37.95</v>
      </c>
      <c r="K210">
        <f>D210-$E$3-'出力'!$T$130-$E$82</f>
        <v>0.8243013787454947</v>
      </c>
      <c r="L210">
        <f>D210-$E$3-'出力'!$T$131-$E$83</f>
        <v>0.36128315516282616</v>
      </c>
    </row>
    <row r="211" spans="2:12" ht="13.5">
      <c r="B211">
        <f t="shared" si="31"/>
        <v>-77.84</v>
      </c>
      <c r="C211">
        <f t="shared" si="32"/>
        <v>80</v>
      </c>
      <c r="D211">
        <f t="shared" si="30"/>
        <v>1.3962634015954636</v>
      </c>
      <c r="E211">
        <f>ROUND($C$163*TAN('出力'!$T$131)+('出力'!$T$138+$C$163)/TAN(D211)+'出力'!$T$138*TAN('出力'!$T$130),2)</f>
        <v>-1.44</v>
      </c>
      <c r="F211">
        <f>ROUND($C$2/2*((1/TAN(D211)+TAN('出力'!$T$131))*('出力'!$T$138+$C$163)^2+(TAN('出力'!$T$130)-TAN('出力'!$T$131))*'出力'!$T$138^2),2)</f>
        <v>-59.18</v>
      </c>
      <c r="G211">
        <f>IF('出力'!$T$43=0,H211,IF(D211&lt;=$C$161,I211,J211))</f>
        <v>-73.58</v>
      </c>
      <c r="H211">
        <f>ROUND(F211+E211*'出力'!$T$39,2)</f>
        <v>-73.58</v>
      </c>
      <c r="I211">
        <f>ROUND(F211+$C$2/2*(2*E211-(1/TAN('出力'!$T$132)-1/TAN(D211))*'出力'!$T$43)+(E211-(1/TAN('出力'!$T$132)-1/TAN(D211))*'出力'!$T$43)*'出力'!$T$39,2)</f>
        <v>-102.38</v>
      </c>
      <c r="J211">
        <f>ROUND(F211+$C$2/2*SIN(D211)*SIN('出力'!$T$132)/SIN(D211-'出力'!$T$132)*E211^2,2)</f>
        <v>-43.51</v>
      </c>
      <c r="K211">
        <f>D211-$E$3-'出力'!$T$130-$E$82</f>
        <v>0.841754671265438</v>
      </c>
      <c r="L211">
        <f>D211-$E$3-'出力'!$T$131-$E$83</f>
        <v>0.3787364476827695</v>
      </c>
    </row>
    <row r="212" spans="2:12" ht="13.5">
      <c r="B212">
        <f t="shared" si="31"/>
        <v>-85.98</v>
      </c>
      <c r="C212">
        <f t="shared" si="32"/>
        <v>81</v>
      </c>
      <c r="D212">
        <f t="shared" si="30"/>
        <v>1.413716694115407</v>
      </c>
      <c r="E212">
        <f>ROUND($C$163*TAN('出力'!$T$131)+('出力'!$T$138+$C$163)/TAN(D212)+'出力'!$T$138*TAN('出力'!$T$130),2)</f>
        <v>-1.56</v>
      </c>
      <c r="F212">
        <f>ROUND($C$2/2*((1/TAN(D212)+TAN('出力'!$T$131))*('出力'!$T$138+$C$163)^2+(TAN('出力'!$T$130)-TAN('出力'!$T$131))*'出力'!$T$138^2),2)</f>
        <v>-67.02</v>
      </c>
      <c r="G212">
        <f>IF('出力'!$T$43=0,H212,IF(D212&lt;=$C$161,I212,J212))</f>
        <v>-82.62</v>
      </c>
      <c r="H212">
        <f>ROUND(F212+E212*'出力'!$T$39,2)</f>
        <v>-82.62</v>
      </c>
      <c r="I212">
        <f>ROUND(F212+$C$2/2*(2*E212-(1/TAN('出力'!$T$132)-1/TAN(D212))*'出力'!$T$43)+(E212-(1/TAN('出力'!$T$132)-1/TAN(D212))*'出力'!$T$43)*'出力'!$T$39,2)</f>
        <v>-113.82</v>
      </c>
      <c r="J212">
        <f>ROUND(F212+$C$2/2*SIN(D212)*SIN('出力'!$T$132)/SIN(D212-'出力'!$T$132)*E212^2,2)</f>
        <v>-48.88</v>
      </c>
      <c r="K212">
        <f>D212-$E$3-'出力'!$T$130-$E$82</f>
        <v>0.8592079637853813</v>
      </c>
      <c r="L212">
        <f>D212-$E$3-'出力'!$T$131-$E$83</f>
        <v>0.3961897402027128</v>
      </c>
    </row>
    <row r="213" spans="2:12" ht="13.5">
      <c r="B213">
        <f t="shared" si="31"/>
        <v>-94.46</v>
      </c>
      <c r="C213">
        <f t="shared" si="32"/>
        <v>82</v>
      </c>
      <c r="D213">
        <f t="shared" si="30"/>
        <v>1.43116998663535</v>
      </c>
      <c r="E213">
        <f>ROUND($C$163*TAN('出力'!$T$131)+('出力'!$T$138+$C$163)/TAN(D213)+'出力'!$T$138*TAN('出力'!$T$130),2)</f>
        <v>-1.68</v>
      </c>
      <c r="F213">
        <f>ROUND($C$2/2*((1/TAN(D213)+TAN('出力'!$T$131))*('出力'!$T$138+$C$163)^2+(TAN('出力'!$T$130)-TAN('出力'!$T$131))*'出力'!$T$138^2),2)</f>
        <v>-74.82</v>
      </c>
      <c r="G213">
        <f>IF('出力'!$T$43=0,H213,IF(D213&lt;=$C$161,I213,J213))</f>
        <v>-91.62</v>
      </c>
      <c r="H213">
        <f>ROUND(F213+E213*'出力'!$T$39,2)</f>
        <v>-91.62</v>
      </c>
      <c r="I213">
        <f>ROUND(F213+$C$2/2*(2*E213-(1/TAN('出力'!$T$132)-1/TAN(D213))*'出力'!$T$43)+(E213-(1/TAN('出力'!$T$132)-1/TAN(D213))*'出力'!$T$43)*'出力'!$T$39,2)</f>
        <v>-125.22</v>
      </c>
      <c r="J213">
        <f>ROUND(F213+$C$2/2*SIN(D213)*SIN('出力'!$T$132)/SIN(D213-'出力'!$T$132)*E213^2,2)</f>
        <v>-54.06</v>
      </c>
      <c r="K213">
        <f>D213-$E$3-'出力'!$T$130-$E$82</f>
        <v>0.8766612563053244</v>
      </c>
      <c r="L213">
        <f>D213-$E$3-'出力'!$T$131-$E$83</f>
        <v>0.4136430327226559</v>
      </c>
    </row>
    <row r="214" spans="2:12" ht="13.5">
      <c r="B214">
        <f t="shared" si="31"/>
        <v>-103.27</v>
      </c>
      <c r="C214">
        <f t="shared" si="32"/>
        <v>83</v>
      </c>
      <c r="D214">
        <f t="shared" si="30"/>
        <v>1.4486232791552935</v>
      </c>
      <c r="E214">
        <f>ROUND($C$163*TAN('出力'!$T$131)+('出力'!$T$138+$C$163)/TAN(D214)+'出力'!$T$138*TAN('出力'!$T$130),2)</f>
        <v>-1.8</v>
      </c>
      <c r="F214">
        <f>ROUND($C$2/2*((1/TAN(D214)+TAN('出力'!$T$131))*('出力'!$T$138+$C$163)^2+(TAN('出力'!$T$130)-TAN('出力'!$T$131))*'出力'!$T$138^2),2)</f>
        <v>-82.58</v>
      </c>
      <c r="G214">
        <f>IF('出力'!$T$43=0,H214,IF(D214&lt;=$C$161,I214,J214))</f>
        <v>-100.58</v>
      </c>
      <c r="H214">
        <f>ROUND(F214+E214*'出力'!$T$39,2)</f>
        <v>-100.58</v>
      </c>
      <c r="I214">
        <f>ROUND(F214+$C$2/2*(2*E214-(1/TAN('出力'!$T$132)-1/TAN(D214))*'出力'!$T$43)+(E214-(1/TAN('出力'!$T$132)-1/TAN(D214))*'出力'!$T$43)*'出力'!$T$39,2)</f>
        <v>-136.58</v>
      </c>
      <c r="J214">
        <f>ROUND(F214+$C$2/2*SIN(D214)*SIN('出力'!$T$132)/SIN(D214-'出力'!$T$132)*E214^2,2)</f>
        <v>-59.05</v>
      </c>
      <c r="K214">
        <f>D214-$E$3-'出力'!$T$130-$E$82</f>
        <v>0.894114548825268</v>
      </c>
      <c r="L214">
        <f>D214-$E$3-'出力'!$T$131-$E$83</f>
        <v>0.43109632524259944</v>
      </c>
    </row>
    <row r="215" spans="2:12" ht="13.5">
      <c r="B215">
        <f t="shared" si="31"/>
        <v>-112.33</v>
      </c>
      <c r="C215">
        <f t="shared" si="32"/>
        <v>84</v>
      </c>
      <c r="D215">
        <f t="shared" si="30"/>
        <v>1.4660765716752369</v>
      </c>
      <c r="E215">
        <f>ROUND($C$163*TAN('出力'!$T$131)+('出力'!$T$138+$C$163)/TAN(D215)+'出力'!$T$138*TAN('出力'!$T$130),2)</f>
        <v>-1.91</v>
      </c>
      <c r="F215">
        <f>ROUND($C$2/2*((1/TAN(D215)+TAN('出力'!$T$131))*('出力'!$T$138+$C$163)^2+(TAN('出力'!$T$130)-TAN('出力'!$T$131))*'出力'!$T$138^2),2)</f>
        <v>-90.3</v>
      </c>
      <c r="G215">
        <f>IF('出力'!$T$43=0,H215,IF(D215&lt;=$C$161,I215,J215))</f>
        <v>-109.4</v>
      </c>
      <c r="H215">
        <f>ROUND(F215+E215*'出力'!$T$39,2)</f>
        <v>-109.4</v>
      </c>
      <c r="I215">
        <f>ROUND(F215+$C$2/2*(2*E215-(1/TAN('出力'!$T$132)-1/TAN(D215))*'出力'!$T$43)+(E215-(1/TAN('出力'!$T$132)-1/TAN(D215))*'出力'!$T$43)*'出力'!$T$39,2)</f>
        <v>-147.6</v>
      </c>
      <c r="J215">
        <f>ROUND(F215+$C$2/2*SIN(D215)*SIN('出力'!$T$132)/SIN(D215-'出力'!$T$132)*E215^2,2)</f>
        <v>-64.15</v>
      </c>
      <c r="K215">
        <f>D215-$E$3-'出力'!$T$130-$E$82</f>
        <v>0.9115678413452113</v>
      </c>
      <c r="L215">
        <f>D215-$E$3-'出力'!$T$131-$E$83</f>
        <v>0.44854961776254276</v>
      </c>
    </row>
    <row r="216" spans="2:12" ht="13.5">
      <c r="B216">
        <f t="shared" si="31"/>
        <v>-121.85</v>
      </c>
      <c r="C216">
        <f t="shared" si="32"/>
        <v>85</v>
      </c>
      <c r="D216">
        <f t="shared" si="30"/>
        <v>1.4835298641951802</v>
      </c>
      <c r="E216">
        <f>ROUND($C$163*TAN('出力'!$T$131)+('出力'!$T$138+$C$163)/TAN(D216)+'出力'!$T$138*TAN('出力'!$T$130),2)</f>
        <v>-2.03</v>
      </c>
      <c r="F216">
        <f>ROUND($C$2/2*((1/TAN(D216)+TAN('出力'!$T$131))*('出力'!$T$138+$C$163)^2+(TAN('出力'!$T$130)-TAN('出力'!$T$131))*'出力'!$T$138^2),2)</f>
        <v>-98</v>
      </c>
      <c r="G216">
        <f>IF('出力'!$T$43=0,H216,IF(D216&lt;=$C$161,I216,J216))</f>
        <v>-118.3</v>
      </c>
      <c r="H216">
        <f>ROUND(F216+E216*'出力'!$T$39,2)</f>
        <v>-118.3</v>
      </c>
      <c r="I216">
        <f>ROUND(F216+$C$2/2*(2*E216-(1/TAN('出力'!$T$132)-1/TAN(D216))*'出力'!$T$43)+(E216-(1/TAN('出力'!$T$132)-1/TAN(D216))*'出力'!$T$43)*'出力'!$T$39,2)</f>
        <v>-158.9</v>
      </c>
      <c r="J216">
        <f>ROUND(F216+$C$2/2*SIN(D216)*SIN('出力'!$T$132)/SIN(D216-'出力'!$T$132)*E216^2,2)</f>
        <v>-68.83</v>
      </c>
      <c r="K216">
        <f>D216-$E$3-'出力'!$T$130-$E$82</f>
        <v>0.9290211338651546</v>
      </c>
      <c r="L216">
        <f>D216-$E$3-'出力'!$T$131-$E$83</f>
        <v>0.4660029102824861</v>
      </c>
    </row>
    <row r="217" spans="2:12" ht="13.5">
      <c r="B217">
        <f t="shared" si="31"/>
        <v>-131.73</v>
      </c>
      <c r="C217">
        <f t="shared" si="32"/>
        <v>86</v>
      </c>
      <c r="D217">
        <f t="shared" si="30"/>
        <v>1.5009831567151233</v>
      </c>
      <c r="E217">
        <f>ROUND($C$163*TAN('出力'!$T$131)+('出力'!$T$138+$C$163)/TAN(D217)+'出力'!$T$138*TAN('出力'!$T$130),2)</f>
        <v>-2.15</v>
      </c>
      <c r="F217">
        <f>ROUND($C$2/2*((1/TAN(D217)+TAN('出力'!$T$131))*('出力'!$T$138+$C$163)^2+(TAN('出力'!$T$130)-TAN('出力'!$T$131))*'出力'!$T$138^2),2)</f>
        <v>-105.67</v>
      </c>
      <c r="G217">
        <f>IF('出力'!$T$43=0,H217,IF(D217&lt;=$C$161,I217,J217))</f>
        <v>-127.17</v>
      </c>
      <c r="H217">
        <f>ROUND(F217+E217*'出力'!$T$39,2)</f>
        <v>-127.17</v>
      </c>
      <c r="I217">
        <f>ROUND(F217+$C$2/2*(2*E217-(1/TAN('出力'!$T$132)-1/TAN(D217))*'出力'!$T$43)+(E217-(1/TAN('出力'!$T$132)-1/TAN(D217))*'出力'!$T$43)*'出力'!$T$39,2)</f>
        <v>-170.17</v>
      </c>
      <c r="J217">
        <f>ROUND(F217+$C$2/2*SIN(D217)*SIN('出力'!$T$132)/SIN(D217-'出力'!$T$132)*E217^2,2)</f>
        <v>-73.35</v>
      </c>
      <c r="K217">
        <f>D217-$E$3-'出力'!$T$130-$E$82</f>
        <v>0.9464744263850977</v>
      </c>
      <c r="L217">
        <f>D217-$E$3-'出力'!$T$131-$E$83</f>
        <v>0.4834562028024292</v>
      </c>
    </row>
    <row r="218" spans="2:12" ht="13.5">
      <c r="B218">
        <f t="shared" si="31"/>
        <v>-141.92</v>
      </c>
      <c r="C218">
        <f t="shared" si="32"/>
        <v>87</v>
      </c>
      <c r="D218">
        <f t="shared" si="30"/>
        <v>1.5184364492350666</v>
      </c>
      <c r="E218">
        <f>ROUND($C$163*TAN('出力'!$T$131)+('出力'!$T$138+$C$163)/TAN(D218)+'出力'!$T$138*TAN('出力'!$T$130),2)</f>
        <v>-2.26</v>
      </c>
      <c r="F218">
        <f>ROUND($C$2/2*((1/TAN(D218)+TAN('出力'!$T$131))*('出力'!$T$138+$C$163)^2+(TAN('出力'!$T$130)-TAN('出力'!$T$131))*'出力'!$T$138^2),2)</f>
        <v>-113.33</v>
      </c>
      <c r="G218">
        <f>IF('出力'!$T$43=0,H218,IF(D218&lt;=$C$161,I218,J218))</f>
        <v>-135.93</v>
      </c>
      <c r="H218">
        <f>ROUND(F218+E218*'出力'!$T$39,2)</f>
        <v>-135.93</v>
      </c>
      <c r="I218">
        <f>ROUND(F218+$C$2/2*(2*E218-(1/TAN('出力'!$T$132)-1/TAN(D218))*'出力'!$T$43)+(E218-(1/TAN('出力'!$T$132)-1/TAN(D218))*'出力'!$T$43)*'出力'!$T$39,2)</f>
        <v>-181.13</v>
      </c>
      <c r="J218">
        <f>ROUND(F218+$C$2/2*SIN(D218)*SIN('出力'!$T$132)/SIN(D218-'出力'!$T$132)*E218^2,2)</f>
        <v>-78.05</v>
      </c>
      <c r="K218">
        <f>D218-$E$3-'出力'!$T$130-$E$82</f>
        <v>0.963927718905041</v>
      </c>
      <c r="L218">
        <f>D218-$E$3-'出力'!$T$131-$E$83</f>
        <v>0.5009094953223725</v>
      </c>
    </row>
    <row r="219" spans="2:12" ht="13.5">
      <c r="B219">
        <f t="shared" si="31"/>
        <v>-152.6</v>
      </c>
      <c r="C219">
        <f t="shared" si="32"/>
        <v>88</v>
      </c>
      <c r="D219">
        <f t="shared" si="30"/>
        <v>1.53588974175501</v>
      </c>
      <c r="E219">
        <f>ROUND($C$163*TAN('出力'!$T$131)+('出力'!$T$138+$C$163)/TAN(D219)+'出力'!$T$138*TAN('出力'!$T$130),2)</f>
        <v>-2.38</v>
      </c>
      <c r="F219">
        <f>ROUND($C$2/2*((1/TAN(D219)+TAN('出力'!$T$131))*('出力'!$T$138+$C$163)^2+(TAN('出力'!$T$130)-TAN('出力'!$T$131))*'出力'!$T$138^2),2)</f>
        <v>-120.97</v>
      </c>
      <c r="G219">
        <f>IF('出力'!$T$43=0,H219,IF(D219&lt;=$C$161,I219,J219))</f>
        <v>-144.77</v>
      </c>
      <c r="H219">
        <f>ROUND(F219+E219*'出力'!$T$39,2)</f>
        <v>-144.77</v>
      </c>
      <c r="I219">
        <f>ROUND(F219+$C$2/2*(2*E219-(1/TAN('出力'!$T$132)-1/TAN(D219))*'出力'!$T$43)+(E219-(1/TAN('出力'!$T$132)-1/TAN(D219))*'出力'!$T$43)*'出力'!$T$39,2)</f>
        <v>-192.37</v>
      </c>
      <c r="J219">
        <f>ROUND(F219+$C$2/2*SIN(D219)*SIN('出力'!$T$132)/SIN(D219-'出力'!$T$132)*E219^2,2)</f>
        <v>-82.31</v>
      </c>
      <c r="K219">
        <f>D219-$E$3-'出力'!$T$130-$E$82</f>
        <v>0.9813810114249844</v>
      </c>
      <c r="L219">
        <f>D219-$E$3-'出力'!$T$131-$E$83</f>
        <v>0.5183627878423158</v>
      </c>
    </row>
    <row r="220" spans="2:12" ht="13.5">
      <c r="B220">
        <f t="shared" si="31"/>
        <v>-163.6</v>
      </c>
      <c r="C220">
        <f t="shared" si="32"/>
        <v>89</v>
      </c>
      <c r="D220">
        <f t="shared" si="30"/>
        <v>1.5533430342749535</v>
      </c>
      <c r="E220">
        <f>ROUND($C$163*TAN('出力'!$T$131)+('出力'!$T$138+$C$163)/TAN(D220)+'出力'!$T$138*TAN('出力'!$T$130),2)</f>
        <v>-2.49</v>
      </c>
      <c r="F220">
        <f>ROUND($C$2/2*((1/TAN(D220)+TAN('出力'!$T$131))*('出力'!$T$138+$C$163)^2+(TAN('出力'!$T$130)-TAN('出力'!$T$131))*'出力'!$T$138^2),2)</f>
        <v>-128.6</v>
      </c>
      <c r="G220">
        <f>IF('出力'!$T$43=0,H220,IF(D220&lt;=$C$161,I220,J220))</f>
        <v>-153.5</v>
      </c>
      <c r="H220">
        <f>ROUND(F220+E220*'出力'!$T$39,2)</f>
        <v>-153.5</v>
      </c>
      <c r="I220">
        <f>ROUND(F220+$C$2/2*(2*E220-(1/TAN('出力'!$T$132)-1/TAN(D220))*'出力'!$T$43)+(E220-(1/TAN('出力'!$T$132)-1/TAN(D220))*'出力'!$T$43)*'出力'!$T$39,2)</f>
        <v>-203.3</v>
      </c>
      <c r="J220">
        <f>ROUND(F220+$C$2/2*SIN(D220)*SIN('出力'!$T$132)/SIN(D220-'出力'!$T$132)*E220^2,2)</f>
        <v>-86.78</v>
      </c>
      <c r="K220">
        <f>D220-$E$3-'出力'!$T$130-$E$82</f>
        <v>0.9988343039449279</v>
      </c>
      <c r="L220">
        <f>D220-$E$3-'出力'!$T$131-$E$83</f>
        <v>0.5358160803622594</v>
      </c>
    </row>
    <row r="221" spans="1:7" ht="15">
      <c r="A221" t="s">
        <v>40</v>
      </c>
      <c r="B221">
        <f>MAX(B166:B220)</f>
        <v>39.08</v>
      </c>
      <c r="C221" s="1">
        <f>VLOOKUP($B$221,$B$166:$G$220,2,FALSE)</f>
        <v>51</v>
      </c>
      <c r="D221" s="1">
        <f>VLOOKUP($B$221,$B$166:$G$220,3,FALSE)</f>
        <v>0.890117918517108</v>
      </c>
      <c r="E221" s="1">
        <f>VLOOKUP($B$221,$B$166:$G$220,4,FALSE)</f>
        <v>2.74</v>
      </c>
      <c r="F221" s="1">
        <f>VLOOKUP($B$221,$B$166:$G$220,5,FALSE)</f>
        <v>217.59</v>
      </c>
      <c r="G221" s="1">
        <f>VLOOKUP($B$221,$B$166:$G$220,6,FALSE)</f>
        <v>244.99</v>
      </c>
    </row>
    <row r="224" spans="2:12" ht="13.5">
      <c r="B224">
        <f aca="true" t="shared" si="33" ref="B224:B232">ROUND((G224/COS($C$4)*SIN(D224-$E$3-$C$4)-$C$60*COS(K224))/COS(L224),2)</f>
        <v>35.06</v>
      </c>
      <c r="C224">
        <f>C221-4</f>
        <v>47</v>
      </c>
      <c r="D224">
        <f aca="true" t="shared" si="34" ref="D224:D232">C224*PI()/180</f>
        <v>0.8203047484373349</v>
      </c>
      <c r="E224">
        <f>ROUND($C$163*TAN('出力'!$T$131)+('出力'!$T$138+$C$163)/TAN(D224)+'出力'!$T$138*TAN('出力'!$T$130),2)</f>
        <v>3.55</v>
      </c>
      <c r="F224">
        <f>ROUND($C$2/2*((1/TAN(D224)+TAN('出力'!$T$131))*('出力'!$T$138+$C$163)^2+(TAN('出力'!$T$130)-TAN('出力'!$T$131))*'出力'!$T$138^2),2)</f>
        <v>271.21</v>
      </c>
      <c r="G224">
        <f>IF('出力'!$T$43=0,H224,IF(D224&lt;=$C$161,I224,J224))</f>
        <v>306.71</v>
      </c>
      <c r="H224">
        <f>ROUND(F224+E224*'出力'!$T$39,2)</f>
        <v>306.71</v>
      </c>
      <c r="I224">
        <f>ROUND(F224+$C$2/2*(2*E224-(1/TAN('出力'!$T$132)-1/TAN(D224))*'出力'!$T$43)+(E224-(1/TAN('出力'!$T$132)-1/TAN(D224))*'出力'!$T$43)*'出力'!$T$39,2)</f>
        <v>377.71</v>
      </c>
      <c r="J224">
        <f>ROUND(F224+$C$2/2*SIN(D224)*SIN('出力'!$T$132)/SIN(D224-'出力'!$T$132)*E224^2,2)</f>
        <v>493.28</v>
      </c>
      <c r="K224">
        <f>D224-$E$3-'出力'!$T$130-$E$82</f>
        <v>0.2657960181073094</v>
      </c>
      <c r="L224">
        <f>D224-$E$3-'出力'!$T$131-$E$83</f>
        <v>-0.19722220547535918</v>
      </c>
    </row>
    <row r="225" spans="2:12" ht="13.5">
      <c r="B225">
        <f t="shared" si="33"/>
        <v>36.71</v>
      </c>
      <c r="C225">
        <f>C224+1</f>
        <v>48</v>
      </c>
      <c r="D225">
        <f t="shared" si="34"/>
        <v>0.8377580409572781</v>
      </c>
      <c r="E225">
        <f>ROUND($C$163*TAN('出力'!$T$131)+('出力'!$T$138+$C$163)/TAN(D225)+'出力'!$T$138*TAN('出力'!$T$130),2)</f>
        <v>3.34</v>
      </c>
      <c r="F225">
        <f>ROUND($C$2/2*((1/TAN(D225)+TAN('出力'!$T$131))*('出力'!$T$138+$C$163)^2+(TAN('出力'!$T$130)-TAN('出力'!$T$131))*'出力'!$T$138^2),2)</f>
        <v>257.18</v>
      </c>
      <c r="G225">
        <f>IF('出力'!$T$43=0,H225,IF(D225&lt;=$C$161,I225,J225))</f>
        <v>290.58</v>
      </c>
      <c r="H225">
        <f>ROUND(F225+E225*'出力'!$T$39,2)</f>
        <v>290.58</v>
      </c>
      <c r="I225">
        <f>ROUND(F225+$C$2/2*(2*E225-(1/TAN('出力'!$T$132)-1/TAN(D225))*'出力'!$T$43)+(E225-(1/TAN('出力'!$T$132)-1/TAN(D225))*'出力'!$T$43)*'出力'!$T$39,2)</f>
        <v>357.38</v>
      </c>
      <c r="J225">
        <f>ROUND(F225+$C$2/2*SIN(D225)*SIN('出力'!$T$132)/SIN(D225-'出力'!$T$132)*E225^2,2)</f>
        <v>443.23</v>
      </c>
      <c r="K225">
        <f>D225-$E$3-'出力'!$T$130-$E$82</f>
        <v>0.2832493106272526</v>
      </c>
      <c r="L225">
        <f>D225-$E$3-'出力'!$T$131-$E$83</f>
        <v>-0.17976891295541597</v>
      </c>
    </row>
    <row r="226" spans="2:12" ht="13.5">
      <c r="B226">
        <f t="shared" si="33"/>
        <v>37.93</v>
      </c>
      <c r="C226">
        <f aca="true" t="shared" si="35" ref="C226:C232">C225+1</f>
        <v>49</v>
      </c>
      <c r="D226">
        <f t="shared" si="34"/>
        <v>0.8552113334772214</v>
      </c>
      <c r="E226">
        <f>ROUND($C$163*TAN('出力'!$T$131)+('出力'!$T$138+$C$163)/TAN(D226)+'出力'!$T$138*TAN('出力'!$T$130),2)</f>
        <v>3.14</v>
      </c>
      <c r="F226">
        <f>ROUND($C$2/2*((1/TAN(D226)+TAN('出力'!$T$131))*('出力'!$T$138+$C$163)^2+(TAN('出力'!$T$130)-TAN('出力'!$T$131))*'出力'!$T$138^2),2)</f>
        <v>243.58</v>
      </c>
      <c r="G226">
        <f>IF('出力'!$T$43=0,H226,IF(D226&lt;=$C$161,I226,J226))</f>
        <v>274.98</v>
      </c>
      <c r="H226">
        <f>ROUND(F226+E226*'出力'!$T$39,2)</f>
        <v>274.98</v>
      </c>
      <c r="I226">
        <f>ROUND(F226+$C$2/2*(2*E226-(1/TAN('出力'!$T$132)-1/TAN(D226))*'出力'!$T$43)+(E226-(1/TAN('出力'!$T$132)-1/TAN(D226))*'出力'!$T$43)*'出力'!$T$39,2)</f>
        <v>337.78</v>
      </c>
      <c r="J226">
        <f>ROUND(F226+$C$2/2*SIN(D226)*SIN('出力'!$T$132)/SIN(D226-'出力'!$T$132)*E226^2,2)</f>
        <v>399.9</v>
      </c>
      <c r="K226">
        <f>D226-$E$3-'出力'!$T$130-$E$82</f>
        <v>0.30070260314719593</v>
      </c>
      <c r="L226">
        <f>D226-$E$3-'出力'!$T$131-$E$83</f>
        <v>-0.16231562043547265</v>
      </c>
    </row>
    <row r="227" spans="2:12" ht="13.5">
      <c r="B227">
        <f t="shared" si="33"/>
        <v>38.71</v>
      </c>
      <c r="C227">
        <f t="shared" si="35"/>
        <v>50</v>
      </c>
      <c r="D227">
        <f t="shared" si="34"/>
        <v>0.8726646259971648</v>
      </c>
      <c r="E227">
        <f>ROUND($C$163*TAN('出力'!$T$131)+('出力'!$T$138+$C$163)/TAN(D227)+'出力'!$T$138*TAN('出力'!$T$130),2)</f>
        <v>2.94</v>
      </c>
      <c r="F227">
        <f>ROUND($C$2/2*((1/TAN(D227)+TAN('出力'!$T$131))*('出力'!$T$138+$C$163)^2+(TAN('出力'!$T$130)-TAN('出力'!$T$131))*'出力'!$T$138^2),2)</f>
        <v>230.39</v>
      </c>
      <c r="G227">
        <f>IF('出力'!$T$43=0,H227,IF(D227&lt;=$C$161,I227,J227))</f>
        <v>259.79</v>
      </c>
      <c r="H227">
        <f>ROUND(F227+E227*'出力'!$T$39,2)</f>
        <v>259.79</v>
      </c>
      <c r="I227">
        <f>ROUND(F227+$C$2/2*(2*E227-(1/TAN('出力'!$T$132)-1/TAN(D227))*'出力'!$T$43)+(E227-(1/TAN('出力'!$T$132)-1/TAN(D227))*'出力'!$T$43)*'出力'!$T$39,2)</f>
        <v>318.59</v>
      </c>
      <c r="J227">
        <f>ROUND(F227+$C$2/2*SIN(D227)*SIN('出力'!$T$132)/SIN(D227-'出力'!$T$132)*E227^2,2)</f>
        <v>361.17</v>
      </c>
      <c r="K227">
        <f>D227-$E$3-'出力'!$T$130-$E$82</f>
        <v>0.31815589566713925</v>
      </c>
      <c r="L227">
        <f>D227-$E$3-'出力'!$T$131-$E$83</f>
        <v>-0.14486232791552933</v>
      </c>
    </row>
    <row r="228" spans="2:12" ht="13.5">
      <c r="B228">
        <f t="shared" si="33"/>
        <v>39.08</v>
      </c>
      <c r="C228">
        <f t="shared" si="35"/>
        <v>51</v>
      </c>
      <c r="D228">
        <f t="shared" si="34"/>
        <v>0.890117918517108</v>
      </c>
      <c r="E228">
        <f>ROUND($C$163*TAN('出力'!$T$131)+('出力'!$T$138+$C$163)/TAN(D228)+'出力'!$T$138*TAN('出力'!$T$130),2)</f>
        <v>2.74</v>
      </c>
      <c r="F228">
        <f>ROUND($C$2/2*((1/TAN(D228)+TAN('出力'!$T$131))*('出力'!$T$138+$C$163)^2+(TAN('出力'!$T$130)-TAN('出力'!$T$131))*'出力'!$T$138^2),2)</f>
        <v>217.59</v>
      </c>
      <c r="G228">
        <f>IF('出力'!$T$43=0,H228,IF(D228&lt;=$C$161,I228,J228))</f>
        <v>244.99</v>
      </c>
      <c r="H228">
        <f>ROUND(F228+E228*'出力'!$T$39,2)</f>
        <v>244.99</v>
      </c>
      <c r="I228">
        <f>ROUND(F228+$C$2/2*(2*E228-(1/TAN('出力'!$T$132)-1/TAN(D228))*'出力'!$T$43)+(E228-(1/TAN('出力'!$T$132)-1/TAN(D228))*'出力'!$T$43)*'出力'!$T$39,2)</f>
        <v>299.79</v>
      </c>
      <c r="J228">
        <f>ROUND(F228+$C$2/2*SIN(D228)*SIN('出力'!$T$132)/SIN(D228-'出力'!$T$132)*E228^2,2)</f>
        <v>326.36</v>
      </c>
      <c r="K228">
        <f>D228-$E$3-'出力'!$T$130-$E$82</f>
        <v>0.33560918818708246</v>
      </c>
      <c r="L228">
        <f>D228-$E$3-'出力'!$T$131-$E$83</f>
        <v>-0.12740903539558612</v>
      </c>
    </row>
    <row r="229" spans="2:12" ht="13.5">
      <c r="B229">
        <f t="shared" si="33"/>
        <v>39.08</v>
      </c>
      <c r="C229">
        <f t="shared" si="35"/>
        <v>52</v>
      </c>
      <c r="D229">
        <f t="shared" si="34"/>
        <v>0.9075712110370514</v>
      </c>
      <c r="E229">
        <f>ROUND($C$163*TAN('出力'!$T$131)+('出力'!$T$138+$C$163)/TAN(D229)+'出力'!$T$138*TAN('出力'!$T$130),2)</f>
        <v>2.55</v>
      </c>
      <c r="F229">
        <f>ROUND($C$2/2*((1/TAN(D229)+TAN('出力'!$T$131))*('出力'!$T$138+$C$163)^2+(TAN('出力'!$T$130)-TAN('出力'!$T$131))*'出力'!$T$138^2),2)</f>
        <v>205.13</v>
      </c>
      <c r="G229">
        <f>IF('出力'!$T$43=0,H229,IF(D229&lt;=$C$161,I229,J229))</f>
        <v>230.63</v>
      </c>
      <c r="H229">
        <f>ROUND(F229+E229*'出力'!$T$39,2)</f>
        <v>230.63</v>
      </c>
      <c r="I229">
        <f>ROUND(F229+$C$2/2*(2*E229-(1/TAN('出力'!$T$132)-1/TAN(D229))*'出力'!$T$43)+(E229-(1/TAN('出力'!$T$132)-1/TAN(D229))*'出力'!$T$43)*'出力'!$T$39,2)</f>
        <v>281.63</v>
      </c>
      <c r="J229">
        <f>ROUND(F229+$C$2/2*SIN(D229)*SIN('出力'!$T$132)/SIN(D229-'出力'!$T$132)*E229^2,2)</f>
        <v>295.6</v>
      </c>
      <c r="K229">
        <f>D229-$E$3-'出力'!$T$130-$E$82</f>
        <v>0.3530624807070259</v>
      </c>
      <c r="L229">
        <f>D229-$E$3-'出力'!$T$131-$E$83</f>
        <v>-0.10995574287564269</v>
      </c>
    </row>
    <row r="230" spans="2:12" ht="13.5">
      <c r="B230">
        <f t="shared" si="33"/>
        <v>38.74</v>
      </c>
      <c r="C230">
        <f t="shared" si="35"/>
        <v>53</v>
      </c>
      <c r="D230">
        <f t="shared" si="34"/>
        <v>0.9250245035569946</v>
      </c>
      <c r="E230">
        <f>ROUND($C$163*TAN('出力'!$T$131)+('出力'!$T$138+$C$163)/TAN(D230)+'出力'!$T$138*TAN('出力'!$T$130),2)</f>
        <v>2.37</v>
      </c>
      <c r="F230">
        <f>ROUND($C$2/2*((1/TAN(D230)+TAN('出力'!$T$131))*('出力'!$T$138+$C$163)^2+(TAN('出力'!$T$130)-TAN('出力'!$T$131))*'出力'!$T$138^2),2)</f>
        <v>193.02</v>
      </c>
      <c r="G230">
        <f>IF('出力'!$T$43=0,H230,IF(D230&lt;=$C$161,I230,J230))</f>
        <v>216.72</v>
      </c>
      <c r="H230">
        <f>ROUND(F230+E230*'出力'!$T$39,2)</f>
        <v>216.72</v>
      </c>
      <c r="I230">
        <f>ROUND(F230+$C$2/2*(2*E230-(1/TAN('出力'!$T$132)-1/TAN(D230))*'出力'!$T$43)+(E230-(1/TAN('出力'!$T$132)-1/TAN(D230))*'出力'!$T$43)*'出力'!$T$39,2)</f>
        <v>264.12</v>
      </c>
      <c r="J230">
        <f>ROUND(F230+$C$2/2*SIN(D230)*SIN('出力'!$T$132)/SIN(D230-'出力'!$T$132)*E230^2,2)</f>
        <v>268.27</v>
      </c>
      <c r="K230">
        <f>D230-$E$3-'出力'!$T$130-$E$82</f>
        <v>0.3705157732269691</v>
      </c>
      <c r="L230">
        <f>D230-$E$3-'出力'!$T$131-$E$83</f>
        <v>-0.09250245035569948</v>
      </c>
    </row>
    <row r="231" spans="2:12" ht="13.5">
      <c r="B231">
        <f t="shared" si="33"/>
        <v>38.04</v>
      </c>
      <c r="C231">
        <f t="shared" si="35"/>
        <v>54</v>
      </c>
      <c r="D231">
        <f t="shared" si="34"/>
        <v>0.9424777960769379</v>
      </c>
      <c r="E231">
        <f>ROUND($C$163*TAN('出力'!$T$131)+('出力'!$T$138+$C$163)/TAN(D231)+'出力'!$T$138*TAN('出力'!$T$130),2)</f>
        <v>2.19</v>
      </c>
      <c r="F231">
        <f>ROUND($C$2/2*((1/TAN(D231)+TAN('出力'!$T$131))*('出力'!$T$138+$C$163)^2+(TAN('出力'!$T$130)-TAN('出力'!$T$131))*'出力'!$T$138^2),2)</f>
        <v>181.22</v>
      </c>
      <c r="G231">
        <f>IF('出力'!$T$43=0,H231,IF(D231&lt;=$C$161,I231,J231))</f>
        <v>203.12</v>
      </c>
      <c r="H231">
        <f>ROUND(F231+E231*'出力'!$T$39,2)</f>
        <v>203.12</v>
      </c>
      <c r="I231">
        <f>ROUND(F231+$C$2/2*(2*E231-(1/TAN('出力'!$T$132)-1/TAN(D231))*'出力'!$T$43)+(E231-(1/TAN('出力'!$T$132)-1/TAN(D231))*'出力'!$T$43)*'出力'!$T$39,2)</f>
        <v>246.92</v>
      </c>
      <c r="J231">
        <f>ROUND(F231+$C$2/2*SIN(D231)*SIN('出力'!$T$132)/SIN(D231-'出力'!$T$132)*E231^2,2)</f>
        <v>243.23</v>
      </c>
      <c r="K231">
        <f>D231-$E$3-'出力'!$T$130-$E$82</f>
        <v>0.3879690657469124</v>
      </c>
      <c r="L231">
        <f>D231-$E$3-'出力'!$T$131-$E$83</f>
        <v>-0.07504915783575616</v>
      </c>
    </row>
    <row r="232" spans="2:12" ht="13.5">
      <c r="B232">
        <f t="shared" si="33"/>
        <v>37.02</v>
      </c>
      <c r="C232">
        <f t="shared" si="35"/>
        <v>55</v>
      </c>
      <c r="D232">
        <f t="shared" si="34"/>
        <v>0.9599310885968813</v>
      </c>
      <c r="E232">
        <f>ROUND($C$163*TAN('出力'!$T$131)+('出力'!$T$138+$C$163)/TAN(D232)+'出力'!$T$138*TAN('出力'!$T$130),2)</f>
        <v>2.02</v>
      </c>
      <c r="F232">
        <f>ROUND($C$2/2*((1/TAN(D232)+TAN('出力'!$T$131))*('出力'!$T$138+$C$163)^2+(TAN('出力'!$T$130)-TAN('出力'!$T$131))*'出力'!$T$138^2),2)</f>
        <v>169.71</v>
      </c>
      <c r="G232">
        <f>IF('出力'!$T$43=0,H232,IF(D232&lt;=$C$161,I232,J232))</f>
        <v>189.91</v>
      </c>
      <c r="H232">
        <f>ROUND(F232+E232*'出力'!$T$39,2)</f>
        <v>189.91</v>
      </c>
      <c r="I232">
        <f>ROUND(F232+$C$2/2*(2*E232-(1/TAN('出力'!$T$132)-1/TAN(D232))*'出力'!$T$43)+(E232-(1/TAN('出力'!$T$132)-1/TAN(D232))*'出力'!$T$43)*'出力'!$T$39,2)</f>
        <v>230.31</v>
      </c>
      <c r="J232">
        <f>ROUND(F232+$C$2/2*SIN(D232)*SIN('出力'!$T$132)/SIN(D232-'出力'!$T$132)*E232^2,2)</f>
        <v>220.73</v>
      </c>
      <c r="K232">
        <f>D232-$E$3-'出力'!$T$130-$E$82</f>
        <v>0.40542235826685574</v>
      </c>
      <c r="L232">
        <f>D232-$E$3-'出力'!$T$131-$E$83</f>
        <v>-0.057595865315812844</v>
      </c>
    </row>
    <row r="234" spans="3:4" ht="13.5">
      <c r="C234" t="s">
        <v>214</v>
      </c>
      <c r="D234">
        <f>'出力'!T139</f>
        <v>2.7800000000000002</v>
      </c>
    </row>
    <row r="235" spans="3:4" ht="13.5">
      <c r="C235" t="s">
        <v>44</v>
      </c>
      <c r="D235">
        <f>B142</f>
        <v>89.51</v>
      </c>
    </row>
    <row r="236" spans="3:4" ht="13.5">
      <c r="C236" t="s">
        <v>213</v>
      </c>
      <c r="D236">
        <f>B221</f>
        <v>39.08</v>
      </c>
    </row>
    <row r="237" spans="3:5" ht="13.5">
      <c r="C237" s="20" t="s">
        <v>46</v>
      </c>
      <c r="D237" s="20">
        <f>ROUND((4*D236-D235)/D234,2)</f>
        <v>24.03</v>
      </c>
      <c r="E237" s="20" t="s">
        <v>29</v>
      </c>
    </row>
    <row r="238" spans="3:5" ht="13.5">
      <c r="C238" s="20" t="s">
        <v>47</v>
      </c>
      <c r="D238" s="20">
        <f>ROUND(2*D235/D234-D237,2)</f>
        <v>40.37</v>
      </c>
      <c r="E238" s="20" t="s">
        <v>9</v>
      </c>
    </row>
    <row r="239" spans="1:13" ht="13.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</row>
    <row r="240" spans="1:13" ht="13.5">
      <c r="A240" s="67"/>
      <c r="B240" s="67"/>
      <c r="C240" s="51"/>
      <c r="D240" s="51"/>
      <c r="E240" s="51"/>
      <c r="F240" s="67"/>
      <c r="G240" s="67"/>
      <c r="H240" s="67"/>
      <c r="I240" s="67"/>
      <c r="J240" s="67"/>
      <c r="K240" s="67"/>
      <c r="L240" s="67"/>
      <c r="M240" s="67"/>
    </row>
    <row r="241" spans="1:13" ht="13.5">
      <c r="A241" s="67"/>
      <c r="B241" s="67"/>
      <c r="C241" s="51"/>
      <c r="D241" s="51"/>
      <c r="E241" s="51"/>
      <c r="F241" s="67"/>
      <c r="G241" s="67"/>
      <c r="H241" s="67"/>
      <c r="I241" s="67"/>
      <c r="J241" s="67"/>
      <c r="K241" s="67"/>
      <c r="L241" s="67"/>
      <c r="M241" s="67"/>
    </row>
    <row r="242" spans="1:13" ht="13.5">
      <c r="A242" s="67"/>
      <c r="B242" s="67"/>
      <c r="C242" s="51"/>
      <c r="D242" s="51"/>
      <c r="E242" s="51"/>
      <c r="F242" s="67"/>
      <c r="G242" s="67"/>
      <c r="H242" s="67"/>
      <c r="I242" s="67"/>
      <c r="J242" s="67"/>
      <c r="K242" s="67"/>
      <c r="L242" s="67"/>
      <c r="M242" s="67"/>
    </row>
    <row r="243" spans="1:13" ht="13.5">
      <c r="A243" s="67"/>
      <c r="B243" s="67"/>
      <c r="C243" s="51"/>
      <c r="D243" s="51"/>
      <c r="E243" s="51"/>
      <c r="F243" s="67"/>
      <c r="G243" s="67"/>
      <c r="H243" s="67"/>
      <c r="I243" s="67"/>
      <c r="J243" s="67"/>
      <c r="K243" s="67"/>
      <c r="L243" s="67"/>
      <c r="M243" s="67"/>
    </row>
    <row r="244" spans="1:13" ht="13.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</row>
    <row r="245" spans="1:13" ht="13.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</row>
    <row r="246" spans="1:13" ht="13.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</row>
    <row r="247" spans="1:13" ht="13.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</row>
    <row r="248" spans="1:13" ht="13.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</row>
    <row r="249" spans="1:13" ht="13.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</row>
    <row r="250" spans="1:13" ht="13.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</row>
    <row r="251" spans="1:13" ht="13.5">
      <c r="A251" s="67"/>
      <c r="B251" s="91"/>
      <c r="C251" s="68"/>
      <c r="D251" s="68"/>
      <c r="E251" s="68"/>
      <c r="F251" s="68"/>
      <c r="G251" s="68"/>
      <c r="H251" s="68"/>
      <c r="I251" s="67"/>
      <c r="J251" s="67"/>
      <c r="K251" s="91"/>
      <c r="L251" s="68"/>
      <c r="M251" s="68"/>
    </row>
    <row r="252" spans="1:13" ht="13.5">
      <c r="A252" s="67"/>
      <c r="B252" s="91"/>
      <c r="C252" s="50"/>
      <c r="D252" s="50"/>
      <c r="E252" s="50"/>
      <c r="F252" s="50"/>
      <c r="G252" s="50"/>
      <c r="H252" s="50"/>
      <c r="I252" s="67"/>
      <c r="J252" s="67"/>
      <c r="K252" s="91"/>
      <c r="L252" s="50"/>
      <c r="M252" s="50"/>
    </row>
    <row r="253" spans="1:13" ht="13.5">
      <c r="A253" s="67"/>
      <c r="B253" s="50"/>
      <c r="C253" s="69"/>
      <c r="D253" s="69"/>
      <c r="E253" s="69"/>
      <c r="F253" s="69"/>
      <c r="G253" s="69"/>
      <c r="H253" s="69"/>
      <c r="I253" s="67"/>
      <c r="J253" s="67"/>
      <c r="K253" s="67"/>
      <c r="L253" s="67"/>
      <c r="M253" s="67"/>
    </row>
    <row r="254" spans="1:13" ht="13.5">
      <c r="A254" s="67"/>
      <c r="B254" s="50"/>
      <c r="C254" s="69"/>
      <c r="D254" s="69"/>
      <c r="E254" s="69"/>
      <c r="F254" s="69"/>
      <c r="G254" s="69"/>
      <c r="H254" s="69"/>
      <c r="I254" s="67"/>
      <c r="J254" s="67"/>
      <c r="K254" s="67"/>
      <c r="L254" s="67"/>
      <c r="M254" s="67"/>
    </row>
    <row r="255" spans="1:13" ht="13.5">
      <c r="A255" s="67"/>
      <c r="B255" s="50"/>
      <c r="C255" s="69"/>
      <c r="D255" s="69"/>
      <c r="E255" s="69"/>
      <c r="F255" s="69"/>
      <c r="G255" s="69"/>
      <c r="H255" s="69"/>
      <c r="I255" s="67"/>
      <c r="J255" s="67"/>
      <c r="K255" s="67"/>
      <c r="L255" s="67"/>
      <c r="M255" s="67"/>
    </row>
    <row r="256" spans="1:13" ht="13.5">
      <c r="A256" s="67"/>
      <c r="B256" s="50"/>
      <c r="C256" s="69"/>
      <c r="D256" s="69"/>
      <c r="E256" s="69"/>
      <c r="F256" s="69"/>
      <c r="G256" s="69"/>
      <c r="H256" s="69"/>
      <c r="I256" s="67"/>
      <c r="J256" s="67"/>
      <c r="K256" s="67"/>
      <c r="L256" s="67"/>
      <c r="M256" s="67"/>
    </row>
    <row r="257" spans="1:13" ht="13.5">
      <c r="A257" s="67"/>
      <c r="B257" s="50"/>
      <c r="C257" s="69"/>
      <c r="D257" s="69"/>
      <c r="E257" s="69"/>
      <c r="F257" s="69"/>
      <c r="G257" s="69"/>
      <c r="H257" s="69"/>
      <c r="I257" s="67"/>
      <c r="J257" s="67"/>
      <c r="K257" s="67"/>
      <c r="L257" s="67"/>
      <c r="M257" s="67"/>
    </row>
    <row r="258" spans="1:13" ht="13.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</row>
    <row r="259" spans="1:13" ht="13.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</row>
    <row r="260" spans="1:13" ht="13.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</row>
    <row r="261" spans="1:13" ht="13.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</row>
    <row r="262" spans="1:13" ht="13.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</row>
    <row r="263" spans="1:13" ht="13.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</row>
    <row r="264" spans="1:13" ht="13.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</row>
    <row r="265" spans="1:13" ht="13.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</row>
  </sheetData>
  <mergeCells count="2">
    <mergeCell ref="B251:B252"/>
    <mergeCell ref="K251:K25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2005-10-20T12:16:55Z</cp:lastPrinted>
  <dcterms:created xsi:type="dcterms:W3CDTF">2005-10-07T10:26:12Z</dcterms:created>
  <dcterms:modified xsi:type="dcterms:W3CDTF">2005-10-19T01:53:33Z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