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945" tabRatio="803" firstSheet="3" activeTab="3"/>
  </bookViews>
  <sheets>
    <sheet name="土圧計算" sheetId="1" state="hidden" r:id="rId1"/>
    <sheet name="data" sheetId="2" state="hidden" r:id="rId2"/>
    <sheet name="たて壁土圧" sheetId="3" state="hidden" r:id="rId3"/>
    <sheet name="入力" sheetId="4" r:id="rId4"/>
    <sheet name="設計計算" sheetId="5" r:id="rId5"/>
  </sheets>
  <definedNames>
    <definedName name="∑H">'設計計算'!$E$239</definedName>
    <definedName name="∑V">'設計計算'!$E$238</definedName>
    <definedName name="B">'設計計算'!$D$5</definedName>
    <definedName name="bo">'設計計算'!$D$9</definedName>
    <definedName name="bt">'設計計算'!$D$6</definedName>
    <definedName name="bu">'設計計算'!$D$10</definedName>
    <definedName name="cu">'設計計算'!$E$35</definedName>
    <definedName name="cuf">'設計計算'!$E$52</definedName>
    <definedName name="d">'設計計算'!$F$241</definedName>
    <definedName name="Df">'設計計算'!$E$49</definedName>
    <definedName name="e">'設計計算'!$F$243</definedName>
    <definedName name="H">'設計計算'!$D$4</definedName>
    <definedName name="HA">'土圧計算'!$C$15</definedName>
    <definedName name="hc">'入力'!$Y$15</definedName>
    <definedName name="hp">'設計計算'!$E$45</definedName>
    <definedName name="Hw">'設計計算'!$E$162</definedName>
    <definedName name="Kac">'土圧計算'!$C$12</definedName>
    <definedName name="kH">'設計計算'!$E$42</definedName>
    <definedName name="Lac">'土圧計算'!$C$9</definedName>
    <definedName name="Lh">'土圧計算'!$C$14</definedName>
    <definedName name="Lw">'設計計算'!$D$12</definedName>
    <definedName name="m">'設計計算'!$E$31</definedName>
    <definedName name="Metho">'土圧計算'!$C$17</definedName>
    <definedName name="n">'設計計算'!$D$11</definedName>
    <definedName name="P">'設計計算'!$E$44</definedName>
    <definedName name="PAH">'設計計算'!$E$192</definedName>
    <definedName name="PAV">'設計計算'!$E$193</definedName>
    <definedName name="PP">'設計計算'!#REF!</definedName>
    <definedName name="_xlnm.Print_Area" localSheetId="4">'設計計算'!$A$1:$I$302</definedName>
    <definedName name="_xlnm.Print_Area" localSheetId="3">'入力'!$A$1:$T$31</definedName>
    <definedName name="q">'設計計算'!$E$36</definedName>
    <definedName name="qav">'土圧計算'!$C$8</definedName>
    <definedName name="qd">'設計計算'!$E$47</definedName>
    <definedName name="qf">'土圧計算'!$F$7</definedName>
    <definedName name="Qq">'設計計算'!#REF!</definedName>
    <definedName name="qr">'土圧計算'!$C$7</definedName>
    <definedName name="scal">'入力'!$O$2</definedName>
    <definedName name="solver_adj" localSheetId="0" hidden="1">'入力'!$Y$5:$Z$5</definedName>
    <definedName name="solver_adj" localSheetId="3" hidden="1">'入力'!$J$26:$J$27</definedName>
    <definedName name="solver_cvg" localSheetId="0" hidden="1">0.001</definedName>
    <definedName name="solver_cvg" localSheetId="3" hidden="1">0.001</definedName>
    <definedName name="solver_drv" localSheetId="0" hidden="1">1</definedName>
    <definedName name="solver_drv" localSheetId="3" hidden="1">1</definedName>
    <definedName name="solver_est" localSheetId="0" hidden="1">1</definedName>
    <definedName name="solver_est" localSheetId="3" hidden="1">1</definedName>
    <definedName name="solver_itr" localSheetId="0" hidden="1">100</definedName>
    <definedName name="solver_itr" localSheetId="3" hidden="1">100</definedName>
    <definedName name="solver_lhs1" localSheetId="3" hidden="1">'入力'!$Y$5</definedName>
    <definedName name="solver_lhs2" localSheetId="3" hidden="1">'入力'!$Y$6</definedName>
    <definedName name="solver_lhs3" localSheetId="3" hidden="1">'入力'!$Y$5</definedName>
    <definedName name="solver_lhs4" localSheetId="3" hidden="1">'入力'!$Y$6</definedName>
    <definedName name="solver_lin" localSheetId="0" hidden="1">2</definedName>
    <definedName name="solver_lin" localSheetId="3" hidden="1">2</definedName>
    <definedName name="solver_neg" localSheetId="0" hidden="1">2</definedName>
    <definedName name="solver_neg" localSheetId="3" hidden="1">2</definedName>
    <definedName name="solver_num" localSheetId="0" hidden="1">0</definedName>
    <definedName name="solver_num" localSheetId="3" hidden="1">4</definedName>
    <definedName name="solver_nwt" localSheetId="0" hidden="1">1</definedName>
    <definedName name="solver_nwt" localSheetId="3" hidden="1">1</definedName>
    <definedName name="solver_opt" localSheetId="0" hidden="1">'入力'!$X$6</definedName>
    <definedName name="solver_opt" localSheetId="3" hidden="1">'入力'!$J$28</definedName>
    <definedName name="solver_pre" localSheetId="0" hidden="1">0.000001</definedName>
    <definedName name="solver_pre" localSheetId="3" hidden="1">0.000001</definedName>
    <definedName name="solver_rel1" localSheetId="3" hidden="1">1</definedName>
    <definedName name="solver_rel2" localSheetId="3" hidden="1">1</definedName>
    <definedName name="solver_rel3" localSheetId="3" hidden="1">3</definedName>
    <definedName name="solver_rel4" localSheetId="3" hidden="1">3</definedName>
    <definedName name="solver_rhs1" localSheetId="3" hidden="1">90</definedName>
    <definedName name="solver_rhs2" localSheetId="3" hidden="1">90</definedName>
    <definedName name="solver_rhs3" localSheetId="3" hidden="1">'入力'!$D$13</definedName>
    <definedName name="solver_rhs4" localSheetId="3" hidden="1">'入力'!$D$13</definedName>
    <definedName name="solver_scl" localSheetId="0" hidden="1">2</definedName>
    <definedName name="solver_scl" localSheetId="3" hidden="1">2</definedName>
    <definedName name="solver_sho" localSheetId="0" hidden="1">2</definedName>
    <definedName name="solver_sho" localSheetId="3" hidden="1">2</definedName>
    <definedName name="solver_tim" localSheetId="0" hidden="1">100</definedName>
    <definedName name="solver_tim" localSheetId="3" hidden="1">100</definedName>
    <definedName name="solver_tol" localSheetId="0" hidden="1">0.05</definedName>
    <definedName name="solver_tol" localSheetId="3" hidden="1">0.05</definedName>
    <definedName name="solver_typ" localSheetId="0" hidden="1">1</definedName>
    <definedName name="solver_typ" localSheetId="3" hidden="1">1</definedName>
    <definedName name="solver_val" localSheetId="0" hidden="1">0</definedName>
    <definedName name="solver_val" localSheetId="3" hidden="1">0</definedName>
    <definedName name="ta">'設計計算'!$D$7</definedName>
    <definedName name="tb">'設計計算'!$D$8</definedName>
    <definedName name="tw">'設計計算'!#REF!</definedName>
    <definedName name="xq">'設計計算'!#REF!</definedName>
    <definedName name="yA">'設計計算'!$H$195</definedName>
    <definedName name="zc">'土圧計算'!$F$11</definedName>
    <definedName name="α">'設計計算'!$R$168</definedName>
    <definedName name="β">'土圧計算'!$E$4</definedName>
    <definedName name="γ">'土圧計算'!$C$10</definedName>
    <definedName name="γ1">'設計計算'!$E$50</definedName>
    <definedName name="γc">'設計計算'!$E$54</definedName>
    <definedName name="δc">'土圧計算'!$C$13</definedName>
    <definedName name="ΔH">'土圧計算'!$C$19</definedName>
    <definedName name="δu">'設計計算'!$R$173</definedName>
    <definedName name="θ">'土圧計算'!$F$10</definedName>
    <definedName name="θd">'土圧計算'!$H$10</definedName>
    <definedName name="μ">'設計計算'!$E$48</definedName>
    <definedName name="σca">'設計計算'!#REF!</definedName>
    <definedName name="σsa">'設計計算'!#REF!</definedName>
    <definedName name="τca">'設計計算'!#REF!</definedName>
    <definedName name="φ">'土圧計算'!$E$5</definedName>
    <definedName name="φ1d">'設計計算'!$E$51</definedName>
    <definedName name="φd">'土圧計算'!$C$5</definedName>
    <definedName name="ωac">'土圧計算'!$C$16</definedName>
    <definedName name="ωL1">'土圧計算'!$D$20</definedName>
    <definedName name="ωL2">'土圧計算'!$D$21</definedName>
  </definedNames>
  <calcPr fullCalcOnLoad="1"/>
</workbook>
</file>

<file path=xl/comments4.xml><?xml version="1.0" encoding="utf-8"?>
<comments xmlns="http://schemas.openxmlformats.org/spreadsheetml/2006/main">
  <authors>
    <author>T.Ushiro</author>
  </authors>
  <commentList>
    <comment ref="D10" authorId="0">
      <text>
        <r>
          <rPr>
            <sz val="9"/>
            <rFont val="ＭＳ Ｐゴシック"/>
            <family val="3"/>
          </rPr>
          <t xml:space="preserve">擁壁目地間隔
標準は10
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礫質土20
砂質土19
粘性土18
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礫質土35
砂質土30
粘性土25
</t>
        </r>
      </text>
    </comment>
    <comment ref="D14" authorId="0">
      <text>
        <r>
          <rPr>
            <sz val="9"/>
            <rFont val="ＭＳ Ｐゴシック"/>
            <family val="3"/>
          </rPr>
          <t xml:space="preserve">衝突時，地震時は0
</t>
        </r>
      </text>
    </comment>
    <comment ref="D21" authorId="0">
      <text>
        <r>
          <rPr>
            <sz val="9"/>
            <rFont val="ＭＳ Ｐゴシック"/>
            <family val="3"/>
          </rPr>
          <t xml:space="preserve">支持地盤が土砂0.6
支持地盤が岩盤0.7
</t>
        </r>
      </text>
    </comment>
  </commentList>
</comments>
</file>

<file path=xl/sharedStrings.xml><?xml version="1.0" encoding="utf-8"?>
<sst xmlns="http://schemas.openxmlformats.org/spreadsheetml/2006/main" count="650" uniqueCount="497">
  <si>
    <t>支柱</t>
  </si>
  <si>
    <t>レール</t>
  </si>
  <si>
    <t>衝突荷重</t>
  </si>
  <si>
    <t>慣性力</t>
  </si>
  <si>
    <t>合力</t>
  </si>
  <si>
    <t>地盤反力</t>
  </si>
  <si>
    <t>前面地盤</t>
  </si>
  <si>
    <t>照査項目</t>
  </si>
  <si>
    <t>計算値</t>
  </si>
  <si>
    <t>規定値</t>
  </si>
  <si>
    <t>判定</t>
  </si>
  <si>
    <t>安全率</t>
  </si>
  <si>
    <t>擁壁形状</t>
  </si>
  <si>
    <t>荷重縮尺</t>
  </si>
  <si>
    <t>1:S=1:</t>
  </si>
  <si>
    <t>上端厚</t>
  </si>
  <si>
    <t>盛土</t>
  </si>
  <si>
    <r>
      <t>1:</t>
    </r>
    <r>
      <rPr>
        <i/>
        <sz val="11"/>
        <rFont val="Times New Roman"/>
        <family val="1"/>
      </rPr>
      <t>m</t>
    </r>
    <r>
      <rPr>
        <sz val="11"/>
        <rFont val="Times New Roman"/>
        <family val="1"/>
      </rPr>
      <t>=1:</t>
    </r>
  </si>
  <si>
    <t>単位重量</t>
  </si>
  <si>
    <t>度</t>
  </si>
  <si>
    <t>地震規模</t>
  </si>
  <si>
    <t>地域区分</t>
  </si>
  <si>
    <t>地盤種別</t>
  </si>
  <si>
    <t>◆安定計算結果</t>
  </si>
  <si>
    <t>ガードレール</t>
  </si>
  <si>
    <t>転　倒</t>
  </si>
  <si>
    <t>安定数</t>
  </si>
  <si>
    <t>支持地盤</t>
  </si>
  <si>
    <t>極限支持力</t>
  </si>
  <si>
    <t>滑　動</t>
  </si>
  <si>
    <t>安全率</t>
  </si>
  <si>
    <t>摩擦係数</t>
  </si>
  <si>
    <t>支持力</t>
  </si>
  <si>
    <t>内部摩擦角</t>
  </si>
  <si>
    <t>H=</t>
  </si>
  <si>
    <t>Lh=</t>
  </si>
  <si>
    <t>β=</t>
  </si>
  <si>
    <t>deg</t>
  </si>
  <si>
    <t>φ=</t>
  </si>
  <si>
    <t>deg</t>
  </si>
  <si>
    <t>γ=</t>
  </si>
  <si>
    <t>m</t>
  </si>
  <si>
    <t>ha=</t>
  </si>
  <si>
    <t>c=</t>
  </si>
  <si>
    <t>kN/m2</t>
  </si>
  <si>
    <t>rad</t>
  </si>
  <si>
    <t>ω2</t>
  </si>
  <si>
    <t>ω1(deg)</t>
  </si>
  <si>
    <t>ω2(deg)</t>
  </si>
  <si>
    <t>ω1(rad)</t>
  </si>
  <si>
    <t>ω2(rad)</t>
  </si>
  <si>
    <t>PAH</t>
  </si>
  <si>
    <t>PA(TWM)</t>
  </si>
  <si>
    <t>ωL2=</t>
  </si>
  <si>
    <t>x</t>
  </si>
  <si>
    <t>地形</t>
  </si>
  <si>
    <t>仮想</t>
  </si>
  <si>
    <t>擁壁</t>
  </si>
  <si>
    <t>土圧計算法</t>
  </si>
  <si>
    <t>KA=</t>
  </si>
  <si>
    <t>ITWM</t>
  </si>
  <si>
    <t>TWM</t>
  </si>
  <si>
    <t>ITWM</t>
  </si>
  <si>
    <t>解析結果</t>
  </si>
  <si>
    <t>土圧計算法</t>
  </si>
  <si>
    <t>ω1=</t>
  </si>
  <si>
    <t>ω2=</t>
  </si>
  <si>
    <t>PA=</t>
  </si>
  <si>
    <t>PAH=</t>
  </si>
  <si>
    <t>δ=</t>
  </si>
  <si>
    <t>W1=</t>
  </si>
  <si>
    <t>W2=</t>
  </si>
  <si>
    <t>λ1=</t>
  </si>
  <si>
    <t>λ2=</t>
  </si>
  <si>
    <t>l1=</t>
  </si>
  <si>
    <t>l2=</t>
  </si>
  <si>
    <t>kN/m</t>
  </si>
  <si>
    <t>載荷重後</t>
  </si>
  <si>
    <t>載荷重前</t>
  </si>
  <si>
    <t>土圧</t>
  </si>
  <si>
    <t>qr=</t>
  </si>
  <si>
    <t>滑り面前</t>
  </si>
  <si>
    <t>滑り面後</t>
  </si>
  <si>
    <t>擁壁高</t>
  </si>
  <si>
    <t>H=</t>
  </si>
  <si>
    <t>B=</t>
  </si>
  <si>
    <t>付け根厚</t>
  </si>
  <si>
    <t>下端厚</t>
  </si>
  <si>
    <t>前面勾配</t>
  </si>
  <si>
    <t>ﾌﾞﾛｯｸ長</t>
  </si>
  <si>
    <t>勾配</t>
  </si>
  <si>
    <t>内部摩擦角</t>
  </si>
  <si>
    <t>粘着力</t>
  </si>
  <si>
    <t>m</t>
  </si>
  <si>
    <t>載荷方法</t>
  </si>
  <si>
    <t>水平震度</t>
  </si>
  <si>
    <t>種別</t>
  </si>
  <si>
    <t>根入深さ</t>
  </si>
  <si>
    <t>単位体積重量</t>
  </si>
  <si>
    <t>番号</t>
  </si>
  <si>
    <t>種別</t>
  </si>
  <si>
    <t>衝突荷重</t>
  </si>
  <si>
    <t>衝突高さ</t>
  </si>
  <si>
    <r>
      <t>C</t>
    </r>
    <r>
      <rPr>
        <sz val="11"/>
        <rFont val="ＭＳ 明朝"/>
        <family val="1"/>
      </rPr>
      <t>種</t>
    </r>
  </si>
  <si>
    <r>
      <t>B</t>
    </r>
    <r>
      <rPr>
        <sz val="11"/>
        <rFont val="ＭＳ 明朝"/>
        <family val="1"/>
      </rPr>
      <t>種</t>
    </r>
  </si>
  <si>
    <r>
      <t>A</t>
    </r>
    <r>
      <rPr>
        <sz val="11"/>
        <rFont val="ＭＳ 明朝"/>
        <family val="1"/>
      </rPr>
      <t>種</t>
    </r>
  </si>
  <si>
    <r>
      <t>SC</t>
    </r>
    <r>
      <rPr>
        <sz val="11"/>
        <rFont val="ＭＳ 明朝"/>
        <family val="1"/>
      </rPr>
      <t>種</t>
    </r>
  </si>
  <si>
    <r>
      <t>SB</t>
    </r>
    <r>
      <rPr>
        <sz val="11"/>
        <rFont val="ＭＳ 明朝"/>
        <family val="1"/>
      </rPr>
      <t>種</t>
    </r>
  </si>
  <si>
    <r>
      <t>SA</t>
    </r>
    <r>
      <rPr>
        <sz val="11"/>
        <rFont val="ＭＳ 明朝"/>
        <family val="1"/>
      </rPr>
      <t>種</t>
    </r>
  </si>
  <si>
    <r>
      <t>SS</t>
    </r>
    <r>
      <rPr>
        <sz val="11"/>
        <rFont val="ＭＳ 明朝"/>
        <family val="1"/>
      </rPr>
      <t>種</t>
    </r>
  </si>
  <si>
    <t>なし</t>
  </si>
  <si>
    <t>衝突荷重</t>
  </si>
  <si>
    <t>kN</t>
  </si>
  <si>
    <t>衝突位置</t>
  </si>
  <si>
    <t>m</t>
  </si>
  <si>
    <t>番号</t>
  </si>
  <si>
    <t>全体載荷</t>
  </si>
  <si>
    <t>仮想背面後方載荷</t>
  </si>
  <si>
    <t>試行楔法</t>
  </si>
  <si>
    <t>改良試行楔法</t>
  </si>
  <si>
    <t>地震規模</t>
  </si>
  <si>
    <t>１種</t>
  </si>
  <si>
    <t>２種</t>
  </si>
  <si>
    <t>３種</t>
  </si>
  <si>
    <t>大規模地震</t>
  </si>
  <si>
    <t>中規模地震</t>
  </si>
  <si>
    <t>考慮しない</t>
  </si>
  <si>
    <t>地震規模</t>
  </si>
  <si>
    <t>設計震度</t>
  </si>
  <si>
    <t>地盤種別</t>
  </si>
  <si>
    <t>番号</t>
  </si>
  <si>
    <t>地域</t>
  </si>
  <si>
    <t>補正係数</t>
  </si>
  <si>
    <t>Ⅰ種</t>
  </si>
  <si>
    <t>A地域</t>
  </si>
  <si>
    <t>Ⅱ種</t>
  </si>
  <si>
    <t>B地域</t>
  </si>
  <si>
    <t>Ⅲ種</t>
  </si>
  <si>
    <t>C地域</t>
  </si>
  <si>
    <t>地域</t>
  </si>
  <si>
    <t>補正係数</t>
  </si>
  <si>
    <t>載荷重</t>
  </si>
  <si>
    <t>根入地盤</t>
  </si>
  <si>
    <r>
      <t xml:space="preserve">   </t>
    </r>
    <r>
      <rPr>
        <sz val="11"/>
        <rFont val="ＭＳ 明朝"/>
        <family val="1"/>
      </rPr>
      <t>要素寸法</t>
    </r>
    <r>
      <rPr>
        <sz val="11"/>
        <rFont val="Times New Roman"/>
        <family val="1"/>
      </rPr>
      <t>(m)</t>
    </r>
  </si>
  <si>
    <r>
      <t>面積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</t>
    </r>
  </si>
  <si>
    <r>
      <t>重量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W</t>
    </r>
  </si>
  <si>
    <r>
      <t xml:space="preserve">    </t>
    </r>
    <r>
      <rPr>
        <sz val="11"/>
        <rFont val="ＭＳ 明朝"/>
        <family val="1"/>
      </rPr>
      <t>アーム長</t>
    </r>
    <r>
      <rPr>
        <sz val="11"/>
        <rFont val="Times New Roman"/>
        <family val="1"/>
      </rPr>
      <t xml:space="preserve"> (m)</t>
    </r>
  </si>
  <si>
    <r>
      <t>幅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b</t>
    </r>
  </si>
  <si>
    <r>
      <t>高さ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h</t>
    </r>
  </si>
  <si>
    <r>
      <t>(m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</si>
  <si>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x</t>
  </si>
  <si>
    <t>y</t>
  </si>
  <si>
    <r>
      <t>W</t>
    </r>
    <r>
      <rPr>
        <i/>
        <sz val="11"/>
        <rFont val="ＭＳ 明朝"/>
        <family val="1"/>
      </rPr>
      <t>･</t>
    </r>
    <r>
      <rPr>
        <i/>
        <sz val="11"/>
        <rFont val="Times New Roman"/>
        <family val="1"/>
      </rPr>
      <t>x</t>
    </r>
  </si>
  <si>
    <r>
      <t>W</t>
    </r>
    <r>
      <rPr>
        <i/>
        <sz val="11"/>
        <rFont val="ＭＳ 明朝"/>
        <family val="1"/>
      </rPr>
      <t>･</t>
    </r>
    <r>
      <rPr>
        <i/>
        <sz val="11"/>
        <rFont val="Times New Roman"/>
        <family val="1"/>
      </rPr>
      <t>y</t>
    </r>
  </si>
  <si>
    <t>壁体①</t>
  </si>
  <si>
    <t>　　②</t>
  </si>
  <si>
    <t>　　③</t>
  </si>
  <si>
    <t>∑</t>
  </si>
  <si>
    <t>重量</t>
  </si>
  <si>
    <t>重心位置</t>
  </si>
  <si>
    <t>荷重強度</t>
  </si>
  <si>
    <t>水平力</t>
  </si>
  <si>
    <t>土　圧</t>
  </si>
  <si>
    <t>偏心量</t>
  </si>
  <si>
    <t>底版幅</t>
  </si>
  <si>
    <t>鉛直力</t>
  </si>
  <si>
    <t>根入深さ</t>
  </si>
  <si>
    <t>m</t>
  </si>
  <si>
    <t>極限支持力度</t>
  </si>
  <si>
    <r>
      <t>kN/m</t>
    </r>
    <r>
      <rPr>
        <vertAlign val="superscript"/>
        <sz val="11"/>
        <rFont val="Times New Roman"/>
        <family val="1"/>
      </rPr>
      <t>2</t>
    </r>
  </si>
  <si>
    <t>安全率</t>
  </si>
  <si>
    <t>P</t>
  </si>
  <si>
    <t>ω(deg)</t>
  </si>
  <si>
    <t>ω(rad)</t>
  </si>
  <si>
    <t>W</t>
  </si>
  <si>
    <t>l</t>
  </si>
  <si>
    <t>b</t>
  </si>
  <si>
    <t>自重</t>
  </si>
  <si>
    <t>度</t>
  </si>
  <si>
    <t>載荷重</t>
  </si>
  <si>
    <t>底面幅</t>
  </si>
  <si>
    <t>つま先長</t>
  </si>
  <si>
    <t>先端厚</t>
  </si>
  <si>
    <t>上端厚</t>
  </si>
  <si>
    <t>単位重量</t>
  </si>
  <si>
    <t>c=</t>
  </si>
  <si>
    <t>荷重強度</t>
  </si>
  <si>
    <t>q=</t>
  </si>
  <si>
    <t>地域区分</t>
  </si>
  <si>
    <t>地盤種別</t>
  </si>
  <si>
    <t>標準震度</t>
  </si>
  <si>
    <t>水平震度</t>
  </si>
  <si>
    <t>種別</t>
  </si>
  <si>
    <t>衝突荷重</t>
  </si>
  <si>
    <t>P=</t>
  </si>
  <si>
    <t>kN</t>
  </si>
  <si>
    <t>作用高</t>
  </si>
  <si>
    <t>m</t>
  </si>
  <si>
    <t>極限支持力</t>
  </si>
  <si>
    <t>摩擦係数</t>
  </si>
  <si>
    <t>単位重量</t>
  </si>
  <si>
    <t>内部摩擦角</t>
  </si>
  <si>
    <t>粘着力</t>
  </si>
  <si>
    <t>(kN/m)</t>
  </si>
  <si>
    <t>kN/m</t>
  </si>
  <si>
    <t>地震時慣性力</t>
  </si>
  <si>
    <t>基本寸法</t>
  </si>
  <si>
    <t>m</t>
  </si>
  <si>
    <t>擁壁高</t>
  </si>
  <si>
    <t>m</t>
  </si>
  <si>
    <t>仮想背面高</t>
  </si>
  <si>
    <t>かかと版長</t>
  </si>
  <si>
    <t>m</t>
  </si>
  <si>
    <t>rad</t>
  </si>
  <si>
    <t>単位重量</t>
  </si>
  <si>
    <t>rad</t>
  </si>
  <si>
    <t>仮想背面より前方</t>
  </si>
  <si>
    <t>仮想背面より後方</t>
  </si>
  <si>
    <t>設計震度</t>
  </si>
  <si>
    <t>水平震度</t>
  </si>
  <si>
    <t>地震合成角</t>
  </si>
  <si>
    <t>rad</t>
  </si>
  <si>
    <t>主働すべり角</t>
  </si>
  <si>
    <t>土塊上面幅</t>
  </si>
  <si>
    <t>m</t>
  </si>
  <si>
    <t>すべり面長</t>
  </si>
  <si>
    <t>m</t>
  </si>
  <si>
    <t>土塊重量</t>
  </si>
  <si>
    <t>kN/m</t>
  </si>
  <si>
    <t>土圧傾斜角</t>
  </si>
  <si>
    <t>主働土圧合力</t>
  </si>
  <si>
    <t>kN/m</t>
  </si>
  <si>
    <t>主働土圧水平成分</t>
  </si>
  <si>
    <t>主働土圧鉛直成分</t>
  </si>
  <si>
    <t>主働土圧係数</t>
  </si>
  <si>
    <t>土圧合力作用位置</t>
  </si>
  <si>
    <t>載荷幅</t>
  </si>
  <si>
    <t>kN/m</t>
  </si>
  <si>
    <t>載荷位置</t>
  </si>
  <si>
    <t>kN/m</t>
  </si>
  <si>
    <t>載荷位置</t>
  </si>
  <si>
    <t>鉛直力</t>
  </si>
  <si>
    <t>荷重の作用位置</t>
  </si>
  <si>
    <t>自　重</t>
  </si>
  <si>
    <t>載荷重</t>
  </si>
  <si>
    <t>衝突荷重</t>
  </si>
  <si>
    <t>∑</t>
  </si>
  <si>
    <t>kN/m</t>
  </si>
  <si>
    <t>kN/m</t>
  </si>
  <si>
    <t>合力作用位置</t>
  </si>
  <si>
    <t>B/6</t>
  </si>
  <si>
    <t>地盤反力度</t>
  </si>
  <si>
    <t>B=</t>
  </si>
  <si>
    <t>m</t>
  </si>
  <si>
    <t>偏心量</t>
  </si>
  <si>
    <t>e=</t>
  </si>
  <si>
    <t>m</t>
  </si>
  <si>
    <t>安定数</t>
  </si>
  <si>
    <t>摩擦係数</t>
  </si>
  <si>
    <t>根入れ地盤の受動土圧</t>
  </si>
  <si>
    <t>土の単位体積重量</t>
  </si>
  <si>
    <t>土の内部摩擦角</t>
  </si>
  <si>
    <t>受動土圧係数</t>
  </si>
  <si>
    <t>受動土圧合力</t>
  </si>
  <si>
    <t>安全率</t>
  </si>
  <si>
    <t>最大地盤反力度</t>
  </si>
  <si>
    <t>壁面傾斜角</t>
  </si>
  <si>
    <t>rad</t>
  </si>
  <si>
    <t>壁面摩擦角</t>
  </si>
  <si>
    <r>
      <t>b</t>
    </r>
    <r>
      <rPr>
        <i/>
        <vertAlign val="subscript"/>
        <sz val="11"/>
        <rFont val="Times New Roman"/>
        <family val="1"/>
      </rPr>
      <t>t</t>
    </r>
    <r>
      <rPr>
        <i/>
        <sz val="11"/>
        <rFont val="Times New Roman"/>
        <family val="1"/>
      </rPr>
      <t>=</t>
    </r>
  </si>
  <si>
    <r>
      <t>t</t>
    </r>
    <r>
      <rPr>
        <i/>
        <vertAlign val="subscript"/>
        <sz val="11"/>
        <rFont val="Times New Roman"/>
        <family val="1"/>
      </rPr>
      <t>a</t>
    </r>
    <r>
      <rPr>
        <i/>
        <sz val="11"/>
        <rFont val="Times New Roman"/>
        <family val="1"/>
      </rPr>
      <t>=</t>
    </r>
  </si>
  <si>
    <r>
      <t>t</t>
    </r>
    <r>
      <rPr>
        <i/>
        <vertAlign val="subscript"/>
        <sz val="11"/>
        <rFont val="Times New Roman"/>
        <family val="1"/>
      </rPr>
      <t>b</t>
    </r>
    <r>
      <rPr>
        <i/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</si>
  <si>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o</t>
    </r>
    <r>
      <rPr>
        <i/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</si>
  <si>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u</t>
    </r>
    <r>
      <rPr>
        <i/>
        <sz val="11"/>
        <rFont val="Times New Roman"/>
        <family val="1"/>
      </rPr>
      <t>=</t>
    </r>
  </si>
  <si>
    <r>
      <t>1:</t>
    </r>
    <r>
      <rPr>
        <i/>
        <sz val="11"/>
        <rFont val="Times New Roman"/>
        <family val="1"/>
      </rPr>
      <t>n=</t>
    </r>
  </si>
  <si>
    <r>
      <t>L</t>
    </r>
    <r>
      <rPr>
        <i/>
        <vertAlign val="subscript"/>
        <sz val="11"/>
        <rFont val="Times New Roman"/>
        <family val="1"/>
      </rPr>
      <t>w</t>
    </r>
    <r>
      <rPr>
        <i/>
        <sz val="11"/>
        <rFont val="Times New Roman"/>
        <family val="1"/>
      </rPr>
      <t>=</t>
    </r>
  </si>
  <si>
    <r>
      <t>γ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</si>
  <si>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</si>
  <si>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φ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</si>
  <si>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</si>
  <si>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</si>
  <si>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h</t>
    </r>
    <r>
      <rPr>
        <i/>
        <vertAlign val="subscript"/>
        <sz val="11"/>
        <rFont val="Times New Roman"/>
        <family val="1"/>
      </rPr>
      <t>p</t>
    </r>
    <r>
      <rPr>
        <i/>
        <sz val="11"/>
        <rFont val="Times New Roman"/>
        <family val="1"/>
      </rPr>
      <t>=</t>
    </r>
  </si>
  <si>
    <r>
      <t>q</t>
    </r>
    <r>
      <rPr>
        <i/>
        <vertAlign val="subscript"/>
        <sz val="11"/>
        <rFont val="Times New Roman"/>
        <family val="1"/>
      </rPr>
      <t>d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</si>
  <si>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</si>
  <si>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μ</t>
    </r>
    <r>
      <rPr>
        <i/>
        <sz val="11"/>
        <rFont val="Times New Roman"/>
        <family val="1"/>
      </rPr>
      <t>=</t>
    </r>
  </si>
  <si>
    <r>
      <t>D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</t>
    </r>
  </si>
  <si>
    <r>
      <t>γ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</si>
  <si>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φ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</si>
  <si>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c</t>
    </r>
    <r>
      <rPr>
        <vertAlign val="subscript"/>
        <sz val="11"/>
        <rFont val="Times New Roman"/>
        <family val="1"/>
      </rPr>
      <t>1</t>
    </r>
    <r>
      <rPr>
        <i/>
        <sz val="11"/>
        <rFont val="Times New Roman"/>
        <family val="1"/>
      </rPr>
      <t>=</t>
    </r>
  </si>
  <si>
    <r>
      <t>γ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</si>
  <si>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モーメント</t>
    </r>
    <r>
      <rPr>
        <sz val="11"/>
        <rFont val="Times New Roman"/>
        <family val="1"/>
      </rPr>
      <t>(kNm/m)</t>
    </r>
  </si>
  <si>
    <r>
      <t>W</t>
    </r>
    <r>
      <rPr>
        <i/>
        <vertAlign val="subscript"/>
        <sz val="11"/>
        <rFont val="Times New Roman"/>
        <family val="1"/>
      </rPr>
      <t>o</t>
    </r>
    <r>
      <rPr>
        <i/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</si>
  <si>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o</t>
    </r>
    <r>
      <rPr>
        <i/>
        <sz val="11"/>
        <rFont val="Times New Roman"/>
        <family val="1"/>
      </rPr>
      <t>=</t>
    </r>
  </si>
  <si>
    <r>
      <t>x</t>
    </r>
    <r>
      <rPr>
        <i/>
        <vertAlign val="subscript"/>
        <sz val="11"/>
        <rFont val="Times New Roman"/>
        <family val="1"/>
      </rPr>
      <t>o</t>
    </r>
    <r>
      <rPr>
        <i/>
        <sz val="11"/>
        <rFont val="Times New Roman"/>
        <family val="1"/>
      </rPr>
      <t>=</t>
    </r>
  </si>
  <si>
    <r>
      <t>y</t>
    </r>
    <r>
      <rPr>
        <i/>
        <vertAlign val="subscript"/>
        <sz val="11"/>
        <rFont val="Times New Roman"/>
        <family val="1"/>
      </rPr>
      <t>o</t>
    </r>
    <r>
      <rPr>
        <i/>
        <sz val="11"/>
        <rFont val="Times New Roman"/>
        <family val="1"/>
      </rPr>
      <t>=</t>
    </r>
  </si>
  <si>
    <r>
      <t>β</t>
    </r>
    <r>
      <rPr>
        <sz val="11"/>
        <rFont val="Times New Roman"/>
        <family val="1"/>
      </rPr>
      <t>=</t>
    </r>
  </si>
  <si>
    <r>
      <t>γ</t>
    </r>
    <r>
      <rPr>
        <sz val="11"/>
        <rFont val="Times New Roman"/>
        <family val="1"/>
      </rPr>
      <t>=</t>
    </r>
  </si>
  <si>
    <r>
      <t>φ</t>
    </r>
    <r>
      <rPr>
        <sz val="11"/>
        <rFont val="Times New Roman"/>
        <family val="1"/>
      </rPr>
      <t>=</t>
    </r>
  </si>
  <si>
    <r>
      <t>θ</t>
    </r>
    <r>
      <rPr>
        <sz val="11"/>
        <rFont val="Times New Roman"/>
        <family val="1"/>
      </rPr>
      <t>=</t>
    </r>
  </si>
  <si>
    <r>
      <t>ω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</si>
  <si>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ω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</si>
  <si>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λ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</si>
  <si>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λ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</si>
  <si>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δ</t>
    </r>
    <r>
      <rPr>
        <sz val="11"/>
        <rFont val="Times New Roman"/>
        <family val="1"/>
      </rPr>
      <t>=</t>
    </r>
  </si>
  <si>
    <r>
      <t>モーメント</t>
    </r>
    <r>
      <rPr>
        <sz val="11"/>
        <rFont val="Times New Roman"/>
        <family val="1"/>
      </rPr>
      <t>(kN</t>
    </r>
    <r>
      <rPr>
        <sz val="11"/>
        <rFont val="ＭＳ 明朝"/>
        <family val="1"/>
      </rPr>
      <t>･</t>
    </r>
    <r>
      <rPr>
        <sz val="11"/>
        <rFont val="Times New Roman"/>
        <family val="1"/>
      </rPr>
      <t>m/m)</t>
    </r>
  </si>
  <si>
    <r>
      <t>V</t>
    </r>
    <r>
      <rPr>
        <sz val="11"/>
        <rFont val="Times New Roman"/>
        <family val="1"/>
      </rPr>
      <t>(kN/m)</t>
    </r>
  </si>
  <si>
    <r>
      <t>H</t>
    </r>
    <r>
      <rPr>
        <sz val="11"/>
        <rFont val="Times New Roman"/>
        <family val="1"/>
      </rPr>
      <t>(kN/m)</t>
    </r>
  </si>
  <si>
    <r>
      <t>x</t>
    </r>
    <r>
      <rPr>
        <sz val="11"/>
        <rFont val="Times New Roman"/>
        <family val="1"/>
      </rPr>
      <t>(m)</t>
    </r>
  </si>
  <si>
    <r>
      <t>y</t>
    </r>
    <r>
      <rPr>
        <sz val="11"/>
        <rFont val="Times New Roman"/>
        <family val="1"/>
      </rPr>
      <t>(m)</t>
    </r>
  </si>
  <si>
    <r>
      <t>V</t>
    </r>
    <r>
      <rPr>
        <i/>
        <sz val="11"/>
        <rFont val="ＭＳ 明朝"/>
        <family val="1"/>
      </rPr>
      <t>･</t>
    </r>
    <r>
      <rPr>
        <i/>
        <sz val="11"/>
        <rFont val="Times New Roman"/>
        <family val="1"/>
      </rPr>
      <t>x</t>
    </r>
  </si>
  <si>
    <r>
      <t>H</t>
    </r>
    <r>
      <rPr>
        <i/>
        <sz val="11"/>
        <rFont val="ＭＳ 明朝"/>
        <family val="1"/>
      </rPr>
      <t>･</t>
    </r>
    <r>
      <rPr>
        <i/>
        <sz val="11"/>
        <rFont val="Times New Roman"/>
        <family val="1"/>
      </rPr>
      <t>y</t>
    </r>
  </si>
  <si>
    <r>
      <t>∑</t>
    </r>
    <r>
      <rPr>
        <i/>
        <sz val="11"/>
        <rFont val="Times New Roman"/>
        <family val="1"/>
      </rPr>
      <t>V</t>
    </r>
    <r>
      <rPr>
        <sz val="11"/>
        <rFont val="Times New Roman"/>
        <family val="1"/>
      </rPr>
      <t>=</t>
    </r>
  </si>
  <si>
    <r>
      <t>∑</t>
    </r>
    <r>
      <rPr>
        <i/>
        <sz val="11"/>
        <rFont val="Times New Roman"/>
        <family val="1"/>
      </rPr>
      <t>H</t>
    </r>
    <r>
      <rPr>
        <sz val="11"/>
        <rFont val="Times New Roman"/>
        <family val="1"/>
      </rPr>
      <t>=</t>
    </r>
  </si>
  <si>
    <r>
      <t>q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</si>
  <si>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q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</si>
  <si>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q</t>
    </r>
    <r>
      <rPr>
        <vertAlign val="subscript"/>
        <sz val="11"/>
        <rFont val="Times New Roman"/>
        <family val="1"/>
      </rPr>
      <t>max</t>
    </r>
    <r>
      <rPr>
        <sz val="11"/>
        <rFont val="Times New Roman"/>
        <family val="1"/>
      </rPr>
      <t>=</t>
    </r>
  </si>
  <si>
    <r>
      <t>∑</t>
    </r>
    <r>
      <rPr>
        <i/>
        <sz val="11"/>
        <rFont val="Times New Roman"/>
        <family val="1"/>
      </rPr>
      <t>V=</t>
    </r>
  </si>
  <si>
    <r>
      <t>∑</t>
    </r>
    <r>
      <rPr>
        <i/>
        <sz val="11"/>
        <rFont val="Times New Roman"/>
        <family val="1"/>
      </rPr>
      <t>H=</t>
    </r>
  </si>
  <si>
    <r>
      <t>μ</t>
    </r>
    <r>
      <rPr>
        <sz val="11"/>
        <rFont val="Times New Roman"/>
        <family val="1"/>
      </rPr>
      <t>=</t>
    </r>
  </si>
  <si>
    <r>
      <t>γ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</si>
  <si>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</si>
  <si>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φ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</si>
  <si>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Rankine</t>
    </r>
    <r>
      <rPr>
        <sz val="11"/>
        <rFont val="ＭＳ 明朝"/>
        <family val="1"/>
      </rPr>
      <t>式による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</si>
  <si>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</si>
  <si>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α</t>
    </r>
    <r>
      <rPr>
        <sz val="11"/>
        <rFont val="Times New Roman"/>
        <family val="1"/>
      </rPr>
      <t>=</t>
    </r>
  </si>
  <si>
    <r>
      <t>δ</t>
    </r>
    <r>
      <rPr>
        <sz val="11"/>
        <rFont val="Times New Roman"/>
        <family val="1"/>
      </rPr>
      <t>=</t>
    </r>
  </si>
  <si>
    <t>H=</t>
  </si>
  <si>
    <t>c=</t>
  </si>
  <si>
    <r>
      <t>H</t>
    </r>
    <r>
      <rPr>
        <i/>
        <vertAlign val="subscript"/>
        <sz val="11"/>
        <rFont val="Times New Roman"/>
        <family val="1"/>
      </rPr>
      <t>A</t>
    </r>
    <r>
      <rPr>
        <i/>
        <sz val="11"/>
        <rFont val="Times New Roman"/>
        <family val="1"/>
      </rPr>
      <t>=</t>
    </r>
  </si>
  <si>
    <r>
      <t>L</t>
    </r>
    <r>
      <rPr>
        <i/>
        <vertAlign val="subscript"/>
        <sz val="11"/>
        <rFont val="Times New Roman"/>
        <family val="1"/>
      </rPr>
      <t>h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</si>
  <si>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</si>
  <si>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</si>
  <si>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q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</si>
  <si>
    <r>
      <t>q</t>
    </r>
    <r>
      <rPr>
        <i/>
        <vertAlign val="subscript"/>
        <sz val="11"/>
        <rFont val="Times New Roman"/>
        <family val="1"/>
      </rPr>
      <t>r</t>
    </r>
    <r>
      <rPr>
        <i/>
        <sz val="11"/>
        <rFont val="Times New Roman"/>
        <family val="1"/>
      </rPr>
      <t>=</t>
    </r>
  </si>
  <si>
    <r>
      <t>k</t>
    </r>
    <r>
      <rPr>
        <i/>
        <vertAlign val="subscript"/>
        <sz val="11"/>
        <rFont val="Times New Roman"/>
        <family val="1"/>
      </rPr>
      <t>H</t>
    </r>
    <r>
      <rPr>
        <i/>
        <sz val="11"/>
        <rFont val="Times New Roman"/>
        <family val="1"/>
      </rPr>
      <t>=</t>
    </r>
  </si>
  <si>
    <t>度</t>
  </si>
  <si>
    <r>
      <t>l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</si>
  <si>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l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</si>
  <si>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W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</si>
  <si>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W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</si>
  <si>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P</t>
    </r>
    <r>
      <rPr>
        <i/>
        <vertAlign val="subscript"/>
        <sz val="11"/>
        <rFont val="Times New Roman"/>
        <family val="1"/>
      </rPr>
      <t>A</t>
    </r>
    <r>
      <rPr>
        <i/>
        <sz val="11"/>
        <rFont val="Times New Roman"/>
        <family val="1"/>
      </rPr>
      <t>=</t>
    </r>
  </si>
  <si>
    <r>
      <t>P</t>
    </r>
    <r>
      <rPr>
        <i/>
        <vertAlign val="subscript"/>
        <sz val="11"/>
        <rFont val="Times New Roman"/>
        <family val="1"/>
      </rPr>
      <t>AH</t>
    </r>
    <r>
      <rPr>
        <i/>
        <sz val="11"/>
        <rFont val="Times New Roman"/>
        <family val="1"/>
      </rPr>
      <t>=</t>
    </r>
  </si>
  <si>
    <r>
      <t>P</t>
    </r>
    <r>
      <rPr>
        <i/>
        <vertAlign val="subscript"/>
        <sz val="11"/>
        <rFont val="Times New Roman"/>
        <family val="1"/>
      </rPr>
      <t>AV</t>
    </r>
    <r>
      <rPr>
        <i/>
        <sz val="11"/>
        <rFont val="Times New Roman"/>
        <family val="1"/>
      </rPr>
      <t>=</t>
    </r>
  </si>
  <si>
    <r>
      <t>K</t>
    </r>
    <r>
      <rPr>
        <i/>
        <vertAlign val="subscript"/>
        <sz val="11"/>
        <rFont val="Times New Roman"/>
        <family val="1"/>
      </rPr>
      <t>A</t>
    </r>
    <r>
      <rPr>
        <i/>
        <sz val="11"/>
        <rFont val="Times New Roman"/>
        <family val="1"/>
      </rPr>
      <t>=</t>
    </r>
  </si>
  <si>
    <r>
      <t>2</t>
    </r>
    <r>
      <rPr>
        <i/>
        <sz val="11"/>
        <rFont val="Times New Roman"/>
        <family val="1"/>
      </rP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/(</t>
    </r>
    <r>
      <rPr>
        <sz val="11"/>
        <rFont val="ＭＳ 明朝"/>
        <family val="1"/>
      </rPr>
      <t>γ</t>
    </r>
    <r>
      <rPr>
        <i/>
        <sz val="11"/>
        <rFont val="Times New Roman"/>
        <family val="1"/>
      </rPr>
      <t>H</t>
    </r>
    <r>
      <rPr>
        <i/>
        <vertAlign val="subscript"/>
        <sz val="11"/>
        <rFont val="Times New Roman"/>
        <family val="1"/>
      </rPr>
      <t>A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)=</t>
    </r>
  </si>
  <si>
    <r>
      <t>x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  <r>
      <rPr>
        <i/>
        <sz val="11"/>
        <rFont val="Times New Roman"/>
        <family val="1"/>
      </rPr>
      <t>B</t>
    </r>
    <r>
      <rPr>
        <sz val="11"/>
        <rFont val="Times New Roman"/>
        <family val="1"/>
      </rPr>
      <t>=</t>
    </r>
  </si>
  <si>
    <r>
      <t>y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  <r>
      <rPr>
        <i/>
        <sz val="11"/>
        <rFont val="Times New Roman"/>
        <family val="1"/>
      </rPr>
      <t>H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/3=</t>
    </r>
  </si>
  <si>
    <t>q=</t>
  </si>
  <si>
    <r>
      <t>b</t>
    </r>
    <r>
      <rPr>
        <i/>
        <vertAlign val="subscript"/>
        <sz val="11"/>
        <rFont val="Times New Roman"/>
        <family val="1"/>
      </rPr>
      <t>q</t>
    </r>
    <r>
      <rPr>
        <i/>
        <sz val="11"/>
        <rFont val="Times New Roman"/>
        <family val="1"/>
      </rPr>
      <t>=</t>
    </r>
  </si>
  <si>
    <r>
      <t>V</t>
    </r>
    <r>
      <rPr>
        <i/>
        <vertAlign val="subscript"/>
        <sz val="11"/>
        <rFont val="Times New Roman"/>
        <family val="1"/>
      </rPr>
      <t>q</t>
    </r>
    <r>
      <rPr>
        <i/>
        <sz val="11"/>
        <rFont val="Times New Roman"/>
        <family val="1"/>
      </rPr>
      <t>=</t>
    </r>
  </si>
  <si>
    <r>
      <t>x</t>
    </r>
    <r>
      <rPr>
        <i/>
        <vertAlign val="subscript"/>
        <sz val="11"/>
        <rFont val="Times New Roman"/>
        <family val="1"/>
      </rPr>
      <t>q</t>
    </r>
    <r>
      <rPr>
        <i/>
        <sz val="11"/>
        <rFont val="Times New Roman"/>
        <family val="1"/>
      </rPr>
      <t>=</t>
    </r>
  </si>
  <si>
    <t>P=</t>
  </si>
  <si>
    <r>
      <t>y</t>
    </r>
    <r>
      <rPr>
        <i/>
        <vertAlign val="subscript"/>
        <sz val="11"/>
        <rFont val="Times New Roman"/>
        <family val="1"/>
      </rPr>
      <t>P</t>
    </r>
    <r>
      <rPr>
        <i/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</si>
  <si>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w</t>
    </r>
    <r>
      <rPr>
        <i/>
        <sz val="11"/>
        <rFont val="Times New Roman"/>
        <family val="1"/>
      </rPr>
      <t>=</t>
    </r>
  </si>
  <si>
    <t>deg</t>
  </si>
  <si>
    <t>rad</t>
  </si>
  <si>
    <t>kN/m2</t>
  </si>
  <si>
    <t>kH=</t>
  </si>
  <si>
    <t>qf=</t>
  </si>
  <si>
    <t>kN/m3</t>
  </si>
  <si>
    <t>θ=</t>
  </si>
  <si>
    <t>m</t>
  </si>
  <si>
    <t>zc=</t>
  </si>
  <si>
    <t>R1=</t>
  </si>
  <si>
    <t>R2=</t>
  </si>
  <si>
    <t>計算条件</t>
  </si>
  <si>
    <t>ベクトル図</t>
  </si>
  <si>
    <t>R1</t>
  </si>
  <si>
    <t>R2</t>
  </si>
  <si>
    <t>W2</t>
  </si>
  <si>
    <t>W1</t>
  </si>
  <si>
    <t>W1</t>
  </si>
  <si>
    <t>H1</t>
  </si>
  <si>
    <t>R2</t>
  </si>
  <si>
    <t>W2</t>
  </si>
  <si>
    <t>H2</t>
  </si>
  <si>
    <t>後楔</t>
  </si>
  <si>
    <t>前楔</t>
  </si>
  <si>
    <t>∑V</t>
  </si>
  <si>
    <t>V</t>
  </si>
  <si>
    <t>H</t>
  </si>
  <si>
    <t>PH(ITWM)</t>
  </si>
  <si>
    <t>Kac=</t>
  </si>
  <si>
    <t>δc=</t>
  </si>
  <si>
    <t>rad</t>
  </si>
  <si>
    <t>λ1</t>
  </si>
  <si>
    <t>λ2</t>
  </si>
  <si>
    <t>L1</t>
  </si>
  <si>
    <t>L2</t>
  </si>
  <si>
    <t>W1</t>
  </si>
  <si>
    <t>W2</t>
  </si>
  <si>
    <t>Pac</t>
  </si>
  <si>
    <t>R1</t>
  </si>
  <si>
    <t>δ</t>
  </si>
  <si>
    <t>PAH</t>
  </si>
  <si>
    <t>PAV</t>
  </si>
  <si>
    <t>P</t>
  </si>
  <si>
    <t>KA</t>
  </si>
  <si>
    <t>Δ=</t>
  </si>
  <si>
    <t>δ(TWM)=</t>
  </si>
  <si>
    <t>hc</t>
  </si>
  <si>
    <t>PAc</t>
  </si>
  <si>
    <t>Pac=</t>
  </si>
  <si>
    <t>R1</t>
  </si>
  <si>
    <t>α=</t>
  </si>
  <si>
    <t>壁高</t>
  </si>
  <si>
    <t>傾斜角</t>
  </si>
  <si>
    <t>度</t>
  </si>
  <si>
    <r>
      <t>1:</t>
    </r>
    <r>
      <rPr>
        <i/>
        <sz val="11"/>
        <rFont val="Times New Roman"/>
        <family val="1"/>
      </rPr>
      <t>m</t>
    </r>
    <r>
      <rPr>
        <sz val="11"/>
        <rFont val="Times New Roman"/>
        <family val="1"/>
      </rPr>
      <t>=1:</t>
    </r>
  </si>
  <si>
    <t>盛土傾斜角</t>
  </si>
  <si>
    <t>底版④</t>
  </si>
  <si>
    <t>　　⑤</t>
  </si>
  <si>
    <t>　　⑥</t>
  </si>
  <si>
    <t>　　⑦</t>
  </si>
  <si>
    <t>裏込⑧</t>
  </si>
  <si>
    <t>　　⑨</t>
  </si>
  <si>
    <t>　　⑩</t>
  </si>
  <si>
    <t>　　⑪</t>
  </si>
  <si>
    <t>後方</t>
  </si>
  <si>
    <t>前方</t>
  </si>
  <si>
    <t>水平土圧</t>
  </si>
  <si>
    <r>
      <t>P</t>
    </r>
    <r>
      <rPr>
        <i/>
        <vertAlign val="subscript"/>
        <sz val="11"/>
        <rFont val="Times New Roman"/>
        <family val="1"/>
      </rPr>
      <t>AH</t>
    </r>
    <r>
      <rPr>
        <sz val="11"/>
        <rFont val="Times New Roman"/>
        <family val="1"/>
      </rPr>
      <t>(kN/m)</t>
    </r>
  </si>
  <si>
    <r>
      <t>ω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(度)</t>
    </r>
  </si>
  <si>
    <r>
      <t>ω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(度)</t>
    </r>
  </si>
  <si>
    <t>◆すべり面の角度と主働土圧の水平成分</t>
  </si>
  <si>
    <r>
      <t>(</t>
    </r>
    <r>
      <rPr>
        <sz val="10"/>
        <rFont val="ＭＳ 明朝"/>
        <family val="1"/>
      </rPr>
      <t>補正係数</t>
    </r>
    <r>
      <rPr>
        <sz val="10"/>
        <rFont val="Times New Roman"/>
        <family val="1"/>
      </rPr>
      <t>)</t>
    </r>
  </si>
  <si>
    <t>rad</t>
  </si>
  <si>
    <t>ΔH=</t>
  </si>
  <si>
    <t>m</t>
  </si>
  <si>
    <t>ωac=</t>
  </si>
  <si>
    <t>deg</t>
  </si>
  <si>
    <t>qav=</t>
  </si>
  <si>
    <t>Lac=</t>
  </si>
  <si>
    <t>平均載荷重</t>
  </si>
  <si>
    <r>
      <t>q</t>
    </r>
    <r>
      <rPr>
        <i/>
        <vertAlign val="subscript"/>
        <sz val="11"/>
        <rFont val="Times New Roman"/>
        <family val="1"/>
      </rPr>
      <t>ave</t>
    </r>
    <r>
      <rPr>
        <i/>
        <sz val="11"/>
        <rFont val="Times New Roman"/>
        <family val="1"/>
      </rPr>
      <t>=</t>
    </r>
  </si>
  <si>
    <t>壁面に作用するCoulomb土圧</t>
  </si>
  <si>
    <t>主働土圧係数</t>
  </si>
  <si>
    <t>主働すべり角</t>
  </si>
  <si>
    <t>壁面摩擦角</t>
  </si>
  <si>
    <t>土圧作用高</t>
  </si>
  <si>
    <t>主働土圧</t>
  </si>
  <si>
    <r>
      <t>ω</t>
    </r>
    <r>
      <rPr>
        <i/>
        <vertAlign val="subscript"/>
        <sz val="11"/>
        <rFont val="Times New Roman"/>
        <family val="1"/>
      </rPr>
      <t>AC</t>
    </r>
    <r>
      <rPr>
        <sz val="11"/>
        <rFont val="Times New Roman"/>
        <family val="1"/>
      </rPr>
      <t>=</t>
    </r>
  </si>
  <si>
    <r>
      <t>K</t>
    </r>
    <r>
      <rPr>
        <i/>
        <vertAlign val="subscript"/>
        <sz val="11"/>
        <rFont val="Times New Roman"/>
        <family val="1"/>
      </rPr>
      <t>AC</t>
    </r>
    <r>
      <rPr>
        <sz val="11"/>
        <rFont val="Times New Roman"/>
        <family val="1"/>
      </rPr>
      <t>=</t>
    </r>
  </si>
  <si>
    <t>δc=</t>
  </si>
  <si>
    <r>
      <t>h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</si>
  <si>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P</t>
    </r>
    <r>
      <rPr>
        <i/>
        <vertAlign val="subscript"/>
        <sz val="11"/>
        <rFont val="Times New Roman"/>
        <family val="1"/>
      </rPr>
      <t>AC</t>
    </r>
    <r>
      <rPr>
        <sz val="11"/>
        <rFont val="Times New Roman"/>
        <family val="1"/>
      </rPr>
      <t>=</t>
    </r>
  </si>
  <si>
    <r>
      <t>q</t>
    </r>
    <r>
      <rPr>
        <i/>
        <vertAlign val="subscript"/>
        <sz val="11"/>
        <rFont val="Times New Roman"/>
        <family val="1"/>
      </rPr>
      <t>av</t>
    </r>
    <r>
      <rPr>
        <sz val="11"/>
        <rFont val="Times New Roman"/>
        <family val="1"/>
      </rPr>
      <t>=</t>
    </r>
  </si>
  <si>
    <t>仮想背面に作用する土圧</t>
  </si>
  <si>
    <t>仮想背面に作用する土圧</t>
  </si>
  <si>
    <t>◆データ入力後ソルバーを実行して下さい．</t>
  </si>
  <si>
    <r>
      <t>ツール(</t>
    </r>
    <r>
      <rPr>
        <u val="single"/>
        <sz val="11"/>
        <color indexed="12"/>
        <rFont val="ＭＳ Ｐ明朝"/>
        <family val="1"/>
      </rPr>
      <t>T</t>
    </r>
    <r>
      <rPr>
        <sz val="11"/>
        <color indexed="12"/>
        <rFont val="ＭＳ Ｐ明朝"/>
        <family val="1"/>
      </rPr>
      <t>)→ソルバー(</t>
    </r>
    <r>
      <rPr>
        <u val="single"/>
        <sz val="11"/>
        <color indexed="12"/>
        <rFont val="ＭＳ Ｐ明朝"/>
        <family val="1"/>
      </rPr>
      <t>V</t>
    </r>
    <r>
      <rPr>
        <sz val="11"/>
        <color indexed="12"/>
        <rFont val="ＭＳ Ｐ明朝"/>
        <family val="1"/>
      </rPr>
      <t>)→実行(</t>
    </r>
    <r>
      <rPr>
        <u val="single"/>
        <sz val="11"/>
        <color indexed="12"/>
        <rFont val="ＭＳ Ｐ明朝"/>
        <family val="1"/>
      </rPr>
      <t>S</t>
    </r>
    <r>
      <rPr>
        <sz val="11"/>
        <color indexed="12"/>
        <rFont val="ＭＳ Ｐ明朝"/>
        <family val="1"/>
      </rPr>
      <t>)→OK</t>
    </r>
  </si>
  <si>
    <t>すべり線</t>
  </si>
  <si>
    <t>単位長当り衝突荷重</t>
  </si>
  <si>
    <t>ω1(deg)</t>
  </si>
  <si>
    <t>ω2(deg)</t>
  </si>
  <si>
    <t>ω1(rad)</t>
  </si>
  <si>
    <t>ω2(rad)</t>
  </si>
  <si>
    <t>λ1</t>
  </si>
  <si>
    <t>L1</t>
  </si>
  <si>
    <t>L2</t>
  </si>
  <si>
    <t>W1</t>
  </si>
  <si>
    <t>W2</t>
  </si>
  <si>
    <t>hc</t>
  </si>
  <si>
    <t>Pac</t>
  </si>
  <si>
    <t>R1</t>
  </si>
  <si>
    <t>R2</t>
  </si>
  <si>
    <t>δ</t>
  </si>
  <si>
    <t>PAV</t>
  </si>
  <si>
    <t>P</t>
  </si>
  <si>
    <t>KA</t>
  </si>
  <si>
    <r>
      <t>q</t>
    </r>
    <r>
      <rPr>
        <vertAlign val="subscript"/>
        <sz val="11"/>
        <rFont val="Times New Roman"/>
        <family val="1"/>
      </rPr>
      <t>max=</t>
    </r>
  </si>
  <si>
    <t>－</t>
  </si>
  <si>
    <t>１．　設計条件</t>
  </si>
  <si>
    <t>（１）　荷重状態</t>
  </si>
  <si>
    <t>（２）　形状寸法</t>
  </si>
  <si>
    <t>（３）　盛　　土</t>
  </si>
  <si>
    <t>（４）　載 荷 重</t>
  </si>
  <si>
    <t>（５）　設計水平震度</t>
  </si>
  <si>
    <t>（６）　ガードレール</t>
  </si>
  <si>
    <t>（７）　土圧計算法</t>
  </si>
  <si>
    <t>（８）　支持地盤</t>
  </si>
  <si>
    <t>（９）　根入れ地盤</t>
  </si>
  <si>
    <t>（１０）　コンクリート</t>
  </si>
  <si>
    <t>２．　荷　　重</t>
  </si>
  <si>
    <t>（１）　自　　重</t>
  </si>
  <si>
    <t>（２）　主働土圧</t>
  </si>
  <si>
    <t>ａ）　土圧計算式</t>
  </si>
  <si>
    <t>ｂ）　計算条件</t>
  </si>
  <si>
    <t>ｃ）　計算結果</t>
  </si>
  <si>
    <t>（３）　載 荷 重</t>
  </si>
  <si>
    <t>（４）　衝突荷重</t>
  </si>
  <si>
    <t>（５）　荷重の集計</t>
  </si>
  <si>
    <t>３．　安定計算</t>
  </si>
  <si>
    <t>（１）　荷重状態</t>
  </si>
  <si>
    <t>（２）　転倒に対する照査</t>
  </si>
  <si>
    <t>（３）　滑動に対する照査</t>
  </si>
  <si>
    <t>（４）　支持力に対する照査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</si>
</sst>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00"/>
    <numFmt numFmtId="180" formatCode="0.0000"/>
    <numFmt numFmtId="181" formatCode="0.00000"/>
    <numFmt numFmtId="182" formatCode="0_ "/>
    <numFmt numFmtId="183" formatCode="#,##0.0;[Red]\-#,##0.0"/>
    <numFmt numFmtId="184" formatCode="#,##0.000;[Red]\-#,##0.000"/>
    <numFmt numFmtId="185" formatCode="0.000_);[Red]\(0.000\)"/>
    <numFmt numFmtId="186" formatCode="0.000000"/>
  </numFmts>
  <fonts count="50">
    <font>
      <sz val="11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name val="ＭＳ Ｐ明朝"/>
      <family val="1"/>
    </font>
    <font>
      <i/>
      <vertAlign val="subscript"/>
      <sz val="11"/>
      <name val="Times New Roman"/>
      <family val="1"/>
    </font>
    <font>
      <vertAlign val="subscript"/>
      <sz val="11"/>
      <name val="Times New Roman"/>
      <family val="1"/>
    </font>
    <font>
      <i/>
      <sz val="11"/>
      <name val="ＭＳ 明朝"/>
      <family val="1"/>
    </font>
    <font>
      <vertAlign val="superscript"/>
      <sz val="11"/>
      <name val="Times New Roman"/>
      <family val="1"/>
    </font>
    <font>
      <sz val="10.75"/>
      <name val="Times New Roman"/>
      <family val="1"/>
    </font>
    <font>
      <sz val="10.75"/>
      <name val="ＭＳ 明朝"/>
      <family val="1"/>
    </font>
    <font>
      <vertAlign val="subscript"/>
      <sz val="10.75"/>
      <name val="Times New Roman"/>
      <family val="1"/>
    </font>
    <font>
      <i/>
      <sz val="10.75"/>
      <name val="Times New Roman"/>
      <family val="1"/>
    </font>
    <font>
      <i/>
      <vertAlign val="subscript"/>
      <sz val="10.75"/>
      <name val="Times New Roman"/>
      <family val="1"/>
    </font>
    <font>
      <sz val="8"/>
      <name val="ＭＳ 明朝"/>
      <family val="1"/>
    </font>
    <font>
      <sz val="9.75"/>
      <name val="ＭＳ 明朝"/>
      <family val="1"/>
    </font>
    <font>
      <vertAlign val="subscript"/>
      <sz val="9.75"/>
      <name val="Times New Roman"/>
      <family val="1"/>
    </font>
    <font>
      <sz val="9.75"/>
      <name val="Times New Roman"/>
      <family val="1"/>
    </font>
    <font>
      <i/>
      <sz val="9.75"/>
      <name val="Times New Roman"/>
      <family val="1"/>
    </font>
    <font>
      <i/>
      <vertAlign val="subscript"/>
      <sz val="9.75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8.5"/>
      <name val="ＭＳ 明朝"/>
      <family val="1"/>
    </font>
    <font>
      <sz val="12"/>
      <name val="ＭＳ Ｐゴシック"/>
      <family val="3"/>
    </font>
    <font>
      <sz val="5.5"/>
      <name val="ＭＳ 明朝"/>
      <family val="1"/>
    </font>
    <font>
      <sz val="3.75"/>
      <name val="ＭＳ 明朝"/>
      <family val="1"/>
    </font>
    <font>
      <sz val="10"/>
      <name val="ＭＳ 明朝"/>
      <family val="1"/>
    </font>
    <font>
      <sz val="2.5"/>
      <name val="ＭＳ 明朝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vertAlign val="subscript"/>
      <sz val="12"/>
      <name val="Times New Roman"/>
      <family val="1"/>
    </font>
    <font>
      <sz val="2.25"/>
      <name val="ＭＳ 明朝"/>
      <family val="1"/>
    </font>
    <font>
      <sz val="2.75"/>
      <name val="ＭＳ 明朝"/>
      <family val="1"/>
    </font>
    <font>
      <sz val="9"/>
      <name val="ＭＳ 明朝"/>
      <family val="1"/>
    </font>
    <font>
      <sz val="4.75"/>
      <name val="ＭＳ 明朝"/>
      <family val="1"/>
    </font>
    <font>
      <sz val="6"/>
      <name val="ＭＳ Ｐゴシック"/>
      <family val="3"/>
    </font>
    <font>
      <vertAlign val="subscript"/>
      <sz val="11"/>
      <name val="ＭＳ Ｐ明朝"/>
      <family val="1"/>
    </font>
    <font>
      <b/>
      <sz val="11"/>
      <color indexed="10"/>
      <name val="ＭＳ Ｐ明朝"/>
      <family val="1"/>
    </font>
    <font>
      <sz val="11"/>
      <color indexed="12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7.25"/>
      <color indexed="12"/>
      <name val="ＭＳ 明朝"/>
      <family val="1"/>
    </font>
    <font>
      <b/>
      <sz val="11"/>
      <name val="ＭＳ Ｐ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Ｐゴシック"/>
      <family val="3"/>
    </font>
    <font>
      <sz val="11"/>
      <color indexed="42"/>
      <name val="Times New Roman"/>
      <family val="1"/>
    </font>
    <font>
      <sz val="11"/>
      <color indexed="42"/>
      <name val="ＭＳ 明朝"/>
      <family val="1"/>
    </font>
    <font>
      <b/>
      <sz val="8"/>
      <name val="ＭＳ 明朝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8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2" fontId="0" fillId="0" borderId="0" xfId="0" applyNumberFormat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9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2" fontId="4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center" vertical="center"/>
    </xf>
    <xf numFmtId="179" fontId="4" fillId="0" borderId="5" xfId="0" applyNumberFormat="1" applyFont="1" applyBorder="1" applyAlignment="1">
      <alignment horizontal="center" vertical="center"/>
    </xf>
    <xf numFmtId="179" fontId="4" fillId="0" borderId="6" xfId="0" applyNumberFormat="1" applyFont="1" applyBorder="1" applyAlignment="1">
      <alignment horizontal="center" vertical="center"/>
    </xf>
    <xf numFmtId="179" fontId="4" fillId="0" borderId="7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8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84" fontId="4" fillId="0" borderId="0" xfId="17" applyNumberFormat="1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176" fontId="0" fillId="4" borderId="0" xfId="0" applyNumberFormat="1" applyFill="1" applyBorder="1" applyAlignment="1">
      <alignment vertical="center"/>
    </xf>
    <xf numFmtId="177" fontId="0" fillId="4" borderId="0" xfId="0" applyNumberFormat="1" applyFill="1" applyBorder="1" applyAlignment="1">
      <alignment vertical="center"/>
    </xf>
    <xf numFmtId="177" fontId="0" fillId="4" borderId="12" xfId="0" applyNumberForma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 vertical="center" shrinkToFit="1"/>
    </xf>
    <xf numFmtId="176" fontId="4" fillId="0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2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0" fillId="0" borderId="0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79" fontId="4" fillId="0" borderId="0" xfId="0" applyNumberFormat="1" applyFont="1" applyAlignment="1">
      <alignment vertical="center"/>
    </xf>
    <xf numFmtId="0" fontId="38" fillId="5" borderId="0" xfId="0" applyFont="1" applyFill="1" applyAlignment="1">
      <alignment vertical="center"/>
    </xf>
    <xf numFmtId="0" fontId="39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3" fillId="5" borderId="0" xfId="0" applyFont="1" applyFill="1" applyAlignment="1">
      <alignment horizontal="right" vertical="center"/>
    </xf>
    <xf numFmtId="179" fontId="4" fillId="5" borderId="6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center" vertical="center"/>
    </xf>
    <xf numFmtId="0" fontId="21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4" fillId="5" borderId="0" xfId="0" applyFont="1" applyFill="1" applyAlignment="1">
      <alignment horizontal="right" vertical="center"/>
    </xf>
    <xf numFmtId="2" fontId="4" fillId="5" borderId="6" xfId="0" applyNumberFormat="1" applyFont="1" applyFill="1" applyBorder="1" applyAlignment="1">
      <alignment horizontal="center" vertical="center"/>
    </xf>
    <xf numFmtId="176" fontId="4" fillId="5" borderId="6" xfId="0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horizontal="right" vertical="center"/>
    </xf>
    <xf numFmtId="0" fontId="0" fillId="5" borderId="0" xfId="0" applyFont="1" applyFill="1" applyAlignment="1">
      <alignment vertical="center" shrinkToFit="1"/>
    </xf>
    <xf numFmtId="0" fontId="0" fillId="5" borderId="0" xfId="0" applyFont="1" applyFill="1" applyAlignment="1">
      <alignment horizontal="right" vertical="center" shrinkToFit="1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right" vertical="center"/>
    </xf>
    <xf numFmtId="0" fontId="0" fillId="5" borderId="6" xfId="0" applyFont="1" applyFill="1" applyBorder="1" applyAlignment="1">
      <alignment horizontal="center" vertical="center" wrapText="1"/>
    </xf>
    <xf numFmtId="2" fontId="4" fillId="5" borderId="1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 shrinkToFit="1"/>
    </xf>
    <xf numFmtId="2" fontId="4" fillId="5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horizontal="right" vertical="center"/>
    </xf>
    <xf numFmtId="176" fontId="4" fillId="5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47" fillId="5" borderId="0" xfId="0" applyFont="1" applyFill="1" applyAlignment="1">
      <alignment vertical="center"/>
    </xf>
    <xf numFmtId="0" fontId="48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vertical="center"/>
    </xf>
    <xf numFmtId="0" fontId="43" fillId="5" borderId="0" xfId="0" applyFont="1" applyFill="1" applyBorder="1" applyAlignment="1">
      <alignment vertical="center"/>
    </xf>
    <xf numFmtId="0" fontId="44" fillId="5" borderId="0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0" fillId="0" borderId="7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wireframe val="1"/>
        <c:ser>
          <c:idx val="0"/>
          <c:order val="0"/>
          <c:tx>
            <c:strRef>
              <c:f>'土圧計算'!$AX$28</c:f>
              <c:strCache>
                <c:ptCount val="1"/>
                <c:pt idx="0">
                  <c:v>56.2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'土圧計算'!$AW$29:$AW$37</c:f>
              <c:numCache/>
            </c:numRef>
          </c:cat>
          <c:val>
            <c:numRef>
              <c:f>'土圧計算'!$AX$29:$AX$37</c:f>
              <c:numCache/>
            </c:numRef>
          </c:val>
        </c:ser>
        <c:ser>
          <c:idx val="1"/>
          <c:order val="1"/>
          <c:tx>
            <c:strRef>
              <c:f>'土圧計算'!$AY$28</c:f>
              <c:strCache>
                <c:ptCount val="1"/>
                <c:pt idx="0">
                  <c:v>57.2 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'土圧計算'!$AW$29:$AW$37</c:f>
              <c:numCache/>
            </c:numRef>
          </c:cat>
          <c:val>
            <c:numRef>
              <c:f>'土圧計算'!$AY$29:$AY$37</c:f>
              <c:numCache/>
            </c:numRef>
          </c:val>
        </c:ser>
        <c:ser>
          <c:idx val="2"/>
          <c:order val="2"/>
          <c:tx>
            <c:strRef>
              <c:f>'土圧計算'!$AZ$28</c:f>
              <c:strCache>
                <c:ptCount val="1"/>
                <c:pt idx="0">
                  <c:v>58.2 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'土圧計算'!$AW$29:$AW$37</c:f>
              <c:numCache/>
            </c:numRef>
          </c:cat>
          <c:val>
            <c:numRef>
              <c:f>'土圧計算'!$AZ$29:$AZ$37</c:f>
              <c:numCache/>
            </c:numRef>
          </c:val>
        </c:ser>
        <c:ser>
          <c:idx val="3"/>
          <c:order val="3"/>
          <c:tx>
            <c:strRef>
              <c:f>'土圧計算'!$BA$28</c:f>
              <c:strCache>
                <c:ptCount val="1"/>
                <c:pt idx="0">
                  <c:v>59.2 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'土圧計算'!$AW$29:$AW$37</c:f>
              <c:numCache/>
            </c:numRef>
          </c:cat>
          <c:val>
            <c:numRef>
              <c:f>'土圧計算'!$BA$29:$BA$37</c:f>
              <c:numCache/>
            </c:numRef>
          </c:val>
        </c:ser>
        <c:ser>
          <c:idx val="4"/>
          <c:order val="4"/>
          <c:tx>
            <c:strRef>
              <c:f>'土圧計算'!$BB$28</c:f>
              <c:strCache>
                <c:ptCount val="1"/>
                <c:pt idx="0">
                  <c:v>60.2 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'土圧計算'!$AW$29:$AW$37</c:f>
              <c:numCache/>
            </c:numRef>
          </c:cat>
          <c:val>
            <c:numRef>
              <c:f>'土圧計算'!$BB$29:$BB$37</c:f>
              <c:numCache/>
            </c:numRef>
          </c:val>
        </c:ser>
        <c:ser>
          <c:idx val="5"/>
          <c:order val="5"/>
          <c:tx>
            <c:strRef>
              <c:f>'土圧計算'!$BC$28</c:f>
              <c:strCache>
                <c:ptCount val="1"/>
                <c:pt idx="0">
                  <c:v>61.2 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'土圧計算'!$AW$29:$AW$37</c:f>
              <c:numCache/>
            </c:numRef>
          </c:cat>
          <c:val>
            <c:numRef>
              <c:f>'土圧計算'!$BC$29:$BC$37</c:f>
              <c:numCache/>
            </c:numRef>
          </c:val>
        </c:ser>
        <c:ser>
          <c:idx val="6"/>
          <c:order val="6"/>
          <c:tx>
            <c:strRef>
              <c:f>'土圧計算'!$BD$28</c:f>
              <c:strCache>
                <c:ptCount val="1"/>
                <c:pt idx="0">
                  <c:v>62.2 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'土圧計算'!$AW$29:$AW$37</c:f>
              <c:numCache/>
            </c:numRef>
          </c:cat>
          <c:val>
            <c:numRef>
              <c:f>'土圧計算'!$BD$29:$BD$37</c:f>
              <c:numCache/>
            </c:numRef>
          </c:val>
        </c:ser>
        <c:ser>
          <c:idx val="7"/>
          <c:order val="7"/>
          <c:tx>
            <c:strRef>
              <c:f>'土圧計算'!$BE$28</c:f>
              <c:strCache>
                <c:ptCount val="1"/>
                <c:pt idx="0">
                  <c:v>63.2 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'土圧計算'!$AW$29:$AW$37</c:f>
              <c:numCache/>
            </c:numRef>
          </c:cat>
          <c:val>
            <c:numRef>
              <c:f>'土圧計算'!$BE$29:$BE$37</c:f>
              <c:numCache/>
            </c:numRef>
          </c:val>
        </c:ser>
        <c:ser>
          <c:idx val="8"/>
          <c:order val="8"/>
          <c:tx>
            <c:strRef>
              <c:f>'土圧計算'!$BF$28</c:f>
              <c:strCache>
                <c:ptCount val="1"/>
                <c:pt idx="0">
                  <c:v>64.2 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'土圧計算'!$AW$29:$AW$37</c:f>
              <c:numCache/>
            </c:numRef>
          </c:cat>
          <c:val>
            <c:numRef>
              <c:f>'土圧計算'!$BF$29:$BF$37</c:f>
              <c:numCache/>
            </c:numRef>
          </c:val>
        </c:ser>
        <c:axId val="56532986"/>
        <c:axId val="39034827"/>
        <c:axId val="15769124"/>
      </c:surface3DChart>
      <c:catAx>
        <c:axId val="56532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明朝"/>
                    <a:ea typeface="ＭＳ 明朝"/>
                    <a:cs typeface="ＭＳ 明朝"/>
                  </a:rPr>
                  <a:t>ω</a:t>
                </a:r>
                <a:r>
                  <a:rPr lang="en-US" cap="none" sz="1075" b="0" i="0" u="none" baseline="-25000"/>
                  <a:t>2</a:t>
                </a:r>
                <a:r>
                  <a:rPr lang="en-US" cap="none" sz="1075" b="0" i="0" u="none" baseline="0"/>
                  <a:t>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75" b="0" i="0" u="none" baseline="0"/>
            </a:pPr>
          </a:p>
        </c:txPr>
        <c:crossAx val="39034827"/>
        <c:crosses val="autoZero"/>
        <c:auto val="1"/>
        <c:lblOffset val="100"/>
        <c:noMultiLvlLbl val="0"/>
      </c:catAx>
      <c:valAx>
        <c:axId val="39034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1" u="none" baseline="0"/>
                  <a:t>P</a:t>
                </a:r>
                <a:r>
                  <a:rPr lang="en-US" cap="none" sz="1075" b="0" i="1" u="none" baseline="-25000"/>
                  <a:t>H</a:t>
                </a:r>
                <a:r>
                  <a:rPr lang="en-US" cap="none" sz="1075" b="0" i="0" u="none" baseline="0"/>
                  <a:t>(kN/m)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6532986"/>
        <c:crossesAt val="1"/>
        <c:crossBetween val="between"/>
        <c:dispUnits/>
      </c:valAx>
      <c:serAx>
        <c:axId val="15769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明朝"/>
                    <a:ea typeface="ＭＳ 明朝"/>
                    <a:cs typeface="ＭＳ 明朝"/>
                  </a:rPr>
                  <a:t>ω</a:t>
                </a:r>
                <a:r>
                  <a:rPr lang="en-US" cap="none" sz="1075" b="0" i="0" u="none" baseline="-25000"/>
                  <a:t>1</a:t>
                </a:r>
                <a:r>
                  <a:rPr lang="en-US" cap="none" sz="1075" b="0" i="0" u="none" baseline="0"/>
                  <a:t>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075" b="0" i="0" u="none" baseline="0"/>
            </a:pPr>
          </a:p>
        </c:txPr>
        <c:crossAx val="3903482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12700">
          <a:solidFill/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力の多角形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"/>
          <c:w val="0.82275"/>
          <c:h val="0.8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'土圧計算'!$V$5</c:f>
              <c:strCache>
                <c:ptCount val="1"/>
                <c:pt idx="0">
                  <c:v>後楔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'土圧計算'!$U$6:$U$16</c:f>
              <c:numCache>
                <c:ptCount val="11"/>
                <c:pt idx="0">
                  <c:v>0</c:v>
                </c:pt>
                <c:pt idx="1">
                  <c:v>-72.352775847544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-72.352775847544</c:v>
                </c:pt>
                <c:pt idx="6">
                  <c:v>-14.391699966805852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'土圧計算'!$V$6:$V$16</c:f>
              <c:numCache>
                <c:ptCount val="11"/>
                <c:pt idx="0">
                  <c:v>0</c:v>
                </c:pt>
                <c:pt idx="1">
                  <c:v>153.52984270755087</c:v>
                </c:pt>
                <c:pt idx="2">
                  <c:v>171.5841890285762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'土圧計算'!$W$5</c:f>
              <c:strCache>
                <c:ptCount val="1"/>
                <c:pt idx="0">
                  <c:v>前楔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'土圧計算'!$U$6:$U$16</c:f>
              <c:numCache>
                <c:ptCount val="11"/>
                <c:pt idx="0">
                  <c:v>0</c:v>
                </c:pt>
                <c:pt idx="1">
                  <c:v>-72.352775847544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-72.352775847544</c:v>
                </c:pt>
                <c:pt idx="6">
                  <c:v>-14.391699966805852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'土圧計算'!$W$6:$W$16</c:f>
              <c:numCache>
                <c:ptCount val="11"/>
                <c:pt idx="5">
                  <c:v>153.52984270755087</c:v>
                </c:pt>
                <c:pt idx="6">
                  <c:v>239.2264033707023</c:v>
                </c:pt>
                <c:pt idx="7">
                  <c:v>245.43437675849808</c:v>
                </c:pt>
                <c:pt idx="8">
                  <c:v>171.58418902857622</c:v>
                </c:pt>
                <c:pt idx="9">
                  <c:v>171.58418902857622</c:v>
                </c:pt>
              </c:numCache>
            </c:numRef>
          </c:yVal>
          <c:smooth val="0"/>
        </c:ser>
        <c:axId val="55610927"/>
        <c:axId val="30736296"/>
      </c:scatterChart>
      <c:valAx>
        <c:axId val="55610927"/>
        <c:scaling>
          <c:orientation val="minMax"/>
        </c:scaling>
        <c:axPos val="b"/>
        <c:delete val="1"/>
        <c:majorTickMark val="in"/>
        <c:minorTickMark val="none"/>
        <c:tickLblPos val="nextTo"/>
        <c:crossAx val="30736296"/>
        <c:crosses val="autoZero"/>
        <c:crossBetween val="midCat"/>
        <c:dispUnits/>
      </c:valAx>
      <c:valAx>
        <c:axId val="30736296"/>
        <c:scaling>
          <c:orientation val="minMax"/>
        </c:scaling>
        <c:axPos val="l"/>
        <c:delete val="1"/>
        <c:majorTickMark val="in"/>
        <c:minorTickMark val="none"/>
        <c:tickLblPos val="nextTo"/>
        <c:crossAx val="556109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735"/>
          <c:w val="0.9345"/>
          <c:h val="0.9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'土圧計算'!$BW$4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'土圧計算'!$BW$5:$BW$58</c:f>
              <c:numCache>
                <c:ptCount val="54"/>
                <c:pt idx="0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5</c:v>
                </c:pt>
                <c:pt idx="4">
                  <c:v>5</c:v>
                </c:pt>
                <c:pt idx="5">
                  <c:v>0.5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'土圧計算'!$BX$4</c:f>
              <c:strCache>
                <c:ptCount val="1"/>
                <c:pt idx="0">
                  <c:v>地形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'土圧計算'!$BX$5:$BX$58</c:f>
              <c:numCache>
                <c:ptCount val="54"/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'土圧計算'!$BY$4</c:f>
              <c:strCache>
                <c:ptCount val="1"/>
                <c:pt idx="0">
                  <c:v>載荷重後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'土圧計算'!$BY$5:$BY$58</c:f>
              <c:numCache>
                <c:ptCount val="54"/>
                <c:pt idx="12">
                  <c:v>5</c:v>
                </c:pt>
                <c:pt idx="13">
                  <c:v>5.5</c:v>
                </c:pt>
                <c:pt idx="14">
                  <c:v>5.5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'土圧計算'!$BZ$4</c:f>
              <c:strCache>
                <c:ptCount val="1"/>
                <c:pt idx="0">
                  <c:v>載荷重前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'土圧計算'!$BZ$5:$BZ$58</c:f>
              <c:numCache>
                <c:ptCount val="54"/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'土圧計算'!$CA$4</c:f>
              <c:strCache>
                <c:ptCount val="1"/>
                <c:pt idx="0">
                  <c:v>仮想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'土圧計算'!$CA$5:$CA$58</c:f>
              <c:numCache>
                <c:ptCount val="54"/>
                <c:pt idx="19">
                  <c:v>0</c:v>
                </c:pt>
                <c:pt idx="20">
                  <c:v>5</c:v>
                </c:pt>
              </c:numCache>
            </c:numRef>
          </c:yVal>
          <c:smooth val="0"/>
        </c:ser>
        <c:ser>
          <c:idx val="8"/>
          <c:order val="5"/>
          <c:tx>
            <c:strRef>
              <c:f>'土圧計算'!$CE$4</c:f>
              <c:strCache>
                <c:ptCount val="1"/>
                <c:pt idx="0">
                  <c:v>支柱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'土圧計算'!$CE$5:$CE$58</c:f>
              <c:numCache>
                <c:ptCount val="54"/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</c:numCache>
            </c:numRef>
          </c:yVal>
          <c:smooth val="0"/>
        </c:ser>
        <c:ser>
          <c:idx val="9"/>
          <c:order val="6"/>
          <c:tx>
            <c:strRef>
              <c:f>'土圧計算'!$CF$4</c:f>
              <c:strCache>
                <c:ptCount val="1"/>
                <c:pt idx="0">
                  <c:v>レール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'土圧計算'!$CF$5:$CF$58</c:f>
              <c:numCache>
                <c:ptCount val="54"/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'土圧計算'!$CG$4</c:f>
              <c:strCache>
                <c:ptCount val="1"/>
                <c:pt idx="0">
                  <c:v>衝突荷重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'土圧計算'!$CG$5:$CG$58</c:f>
              <c:numCache>
                <c:ptCount val="54"/>
                <c:pt idx="40">
                  <c:v>5</c:v>
                </c:pt>
                <c:pt idx="41">
                  <c:v>5</c:v>
                </c:pt>
              </c:numCache>
            </c:numRef>
          </c:yVal>
          <c:smooth val="0"/>
        </c:ser>
        <c:ser>
          <c:idx val="15"/>
          <c:order val="8"/>
          <c:tx>
            <c:strRef>
              <c:f>'土圧計算'!$CL$4</c:f>
              <c:strCache>
                <c:ptCount val="1"/>
                <c:pt idx="0">
                  <c:v>前面地盤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'土圧計算'!$CL$5:$CL$58</c:f>
              <c:numCache>
                <c:ptCount val="54"/>
                <c:pt idx="52">
                  <c:v>1</c:v>
                </c:pt>
                <c:pt idx="53">
                  <c:v>1</c:v>
                </c:pt>
              </c:numCache>
            </c:numRef>
          </c:yVal>
          <c:smooth val="0"/>
        </c:ser>
        <c:axId val="8191209"/>
        <c:axId val="6612018"/>
      </c:scatterChart>
      <c:valAx>
        <c:axId val="8191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612018"/>
        <c:crosses val="autoZero"/>
        <c:crossBetween val="midCat"/>
        <c:dispUnits/>
      </c:valAx>
      <c:valAx>
        <c:axId val="66120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81912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'土圧計算'!$BW$4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/>
            </c:numRef>
          </c:xVal>
          <c:yVal>
            <c:numRef>
              <c:f>'土圧計算'!$BW$5:$BW$58</c:f>
              <c:numCache/>
            </c:numRef>
          </c:yVal>
          <c:smooth val="0"/>
        </c:ser>
        <c:ser>
          <c:idx val="1"/>
          <c:order val="1"/>
          <c:tx>
            <c:strRef>
              <c:f>'土圧計算'!$BX$4</c:f>
              <c:strCache>
                <c:ptCount val="1"/>
                <c:pt idx="0">
                  <c:v>地形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/>
            </c:numRef>
          </c:xVal>
          <c:yVal>
            <c:numRef>
              <c:f>'土圧計算'!$BX$5:$BX$58</c:f>
              <c:numCache/>
            </c:numRef>
          </c:yVal>
          <c:smooth val="0"/>
        </c:ser>
        <c:ser>
          <c:idx val="2"/>
          <c:order val="2"/>
          <c:tx>
            <c:strRef>
              <c:f>'土圧計算'!$BY$4</c:f>
              <c:strCache>
                <c:ptCount val="1"/>
                <c:pt idx="0">
                  <c:v>載荷重後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/>
            </c:numRef>
          </c:xVal>
          <c:yVal>
            <c:numRef>
              <c:f>'土圧計算'!$BY$5:$BY$58</c:f>
              <c:numCache/>
            </c:numRef>
          </c:yVal>
          <c:smooth val="0"/>
        </c:ser>
        <c:ser>
          <c:idx val="3"/>
          <c:order val="3"/>
          <c:tx>
            <c:strRef>
              <c:f>'土圧計算'!$BZ$4</c:f>
              <c:strCache>
                <c:ptCount val="1"/>
                <c:pt idx="0">
                  <c:v>載荷重前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/>
            </c:numRef>
          </c:xVal>
          <c:yVal>
            <c:numRef>
              <c:f>'土圧計算'!$BZ$5:$BZ$58</c:f>
              <c:numCache/>
            </c:numRef>
          </c:yVal>
          <c:smooth val="0"/>
        </c:ser>
        <c:ser>
          <c:idx val="4"/>
          <c:order val="4"/>
          <c:tx>
            <c:strRef>
              <c:f>'土圧計算'!$CA$4</c:f>
              <c:strCache>
                <c:ptCount val="1"/>
                <c:pt idx="0">
                  <c:v>仮想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/>
            </c:numRef>
          </c:xVal>
          <c:yVal>
            <c:numRef>
              <c:f>'土圧計算'!$CA$5:$CA$58</c:f>
              <c:numCache/>
            </c:numRef>
          </c:yVal>
          <c:smooth val="0"/>
        </c:ser>
        <c:ser>
          <c:idx val="5"/>
          <c:order val="5"/>
          <c:tx>
            <c:strRef>
              <c:f>'土圧計算'!$CB$4</c:f>
              <c:strCache>
                <c:ptCount val="1"/>
                <c:pt idx="0">
                  <c:v>滑り面前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/>
            </c:numRef>
          </c:xVal>
          <c:yVal>
            <c:numRef>
              <c:f>'土圧計算'!$CB$5:$CB$58</c:f>
              <c:numCache/>
            </c:numRef>
          </c:yVal>
          <c:smooth val="0"/>
        </c:ser>
        <c:ser>
          <c:idx val="6"/>
          <c:order val="6"/>
          <c:tx>
            <c:strRef>
              <c:f>'土圧計算'!$CC$4</c:f>
              <c:strCache>
                <c:ptCount val="1"/>
                <c:pt idx="0">
                  <c:v>滑り面後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/>
            </c:numRef>
          </c:xVal>
          <c:yVal>
            <c:numRef>
              <c:f>'土圧計算'!$CC$5:$CC$58</c:f>
              <c:numCache/>
            </c:numRef>
          </c:yVal>
          <c:smooth val="0"/>
        </c:ser>
        <c:ser>
          <c:idx val="7"/>
          <c:order val="7"/>
          <c:tx>
            <c:strRef>
              <c:f>'土圧計算'!$CD$4</c:f>
              <c:strCache>
                <c:ptCount val="1"/>
                <c:pt idx="0">
                  <c:v>土圧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/>
            </c:numRef>
          </c:xVal>
          <c:yVal>
            <c:numRef>
              <c:f>'土圧計算'!$CD$5:$CD$58</c:f>
              <c:numCache/>
            </c:numRef>
          </c:yVal>
          <c:smooth val="0"/>
        </c:ser>
        <c:ser>
          <c:idx val="8"/>
          <c:order val="8"/>
          <c:tx>
            <c:strRef>
              <c:f>'土圧計算'!$CE$4</c:f>
              <c:strCache>
                <c:ptCount val="1"/>
                <c:pt idx="0">
                  <c:v>支柱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/>
            </c:numRef>
          </c:xVal>
          <c:yVal>
            <c:numRef>
              <c:f>'土圧計算'!$CE$5:$CE$58</c:f>
              <c:numCache/>
            </c:numRef>
          </c:yVal>
          <c:smooth val="0"/>
        </c:ser>
        <c:ser>
          <c:idx val="9"/>
          <c:order val="9"/>
          <c:tx>
            <c:strRef>
              <c:f>'土圧計算'!$CF$4</c:f>
              <c:strCache>
                <c:ptCount val="1"/>
                <c:pt idx="0">
                  <c:v>レール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/>
            </c:numRef>
          </c:xVal>
          <c:yVal>
            <c:numRef>
              <c:f>'土圧計算'!$CF$5:$CF$58</c:f>
              <c:numCache/>
            </c:numRef>
          </c:yVal>
          <c:smooth val="0"/>
        </c:ser>
        <c:ser>
          <c:idx val="10"/>
          <c:order val="10"/>
          <c:tx>
            <c:strRef>
              <c:f>'土圧計算'!$CG$4</c:f>
              <c:strCache>
                <c:ptCount val="1"/>
                <c:pt idx="0">
                  <c:v>衝突荷重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/>
            </c:numRef>
          </c:xVal>
          <c:yVal>
            <c:numRef>
              <c:f>'土圧計算'!$CG$5:$CG$58</c:f>
              <c:numCache/>
            </c:numRef>
          </c:yVal>
          <c:smooth val="0"/>
        </c:ser>
        <c:ser>
          <c:idx val="11"/>
          <c:order val="11"/>
          <c:tx>
            <c:strRef>
              <c:f>'土圧計算'!$CH$4</c:f>
              <c:strCache>
                <c:ptCount val="1"/>
                <c:pt idx="0">
                  <c:v>合力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/>
            </c:numRef>
          </c:xVal>
          <c:yVal>
            <c:numRef>
              <c:f>'土圧計算'!$CH$5:$CH$58</c:f>
              <c:numCache/>
            </c:numRef>
          </c:yVal>
          <c:smooth val="0"/>
        </c:ser>
        <c:ser>
          <c:idx val="12"/>
          <c:order val="12"/>
          <c:tx>
            <c:strRef>
              <c:f>'土圧計算'!$CI$4</c:f>
              <c:strCache>
                <c:ptCount val="1"/>
                <c:pt idx="0">
                  <c:v>自重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/>
            </c:numRef>
          </c:xVal>
          <c:yVal>
            <c:numRef>
              <c:f>'土圧計算'!$CI$5:$CI$58</c:f>
              <c:numCache/>
            </c:numRef>
          </c:yVal>
          <c:smooth val="0"/>
        </c:ser>
        <c:ser>
          <c:idx val="13"/>
          <c:order val="13"/>
          <c:tx>
            <c:strRef>
              <c:f>'土圧計算'!$CJ$4</c:f>
              <c:strCache>
                <c:ptCount val="1"/>
                <c:pt idx="0">
                  <c:v>慣性力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/>
            </c:numRef>
          </c:xVal>
          <c:yVal>
            <c:numRef>
              <c:f>'土圧計算'!$CJ$5:$CJ$58</c:f>
              <c:numCache/>
            </c:numRef>
          </c:yVal>
          <c:smooth val="0"/>
        </c:ser>
        <c:ser>
          <c:idx val="14"/>
          <c:order val="14"/>
          <c:tx>
            <c:strRef>
              <c:f>'土圧計算'!$CK$4</c:f>
              <c:strCache>
                <c:ptCount val="1"/>
                <c:pt idx="0">
                  <c:v>地盤反力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/>
            </c:numRef>
          </c:xVal>
          <c:yVal>
            <c:numRef>
              <c:f>'土圧計算'!$CK$5:$CK$58</c:f>
              <c:numCache/>
            </c:numRef>
          </c:yVal>
          <c:smooth val="0"/>
        </c:ser>
        <c:ser>
          <c:idx val="15"/>
          <c:order val="15"/>
          <c:tx>
            <c:strRef>
              <c:f>'土圧計算'!$CL$4</c:f>
              <c:strCache>
                <c:ptCount val="1"/>
                <c:pt idx="0">
                  <c:v>前面地盤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/>
            </c:numRef>
          </c:xVal>
          <c:yVal>
            <c:numRef>
              <c:f>'土圧計算'!$CL$5:$CL$58</c:f>
              <c:numCache/>
            </c:numRef>
          </c:yVal>
          <c:smooth val="0"/>
        </c:ser>
        <c:axId val="7704389"/>
        <c:axId val="2230638"/>
      </c:scatterChart>
      <c:valAx>
        <c:axId val="7704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30638"/>
        <c:crosses val="autoZero"/>
        <c:crossBetween val="midCat"/>
        <c:dispUnits/>
      </c:valAx>
      <c:valAx>
        <c:axId val="22306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70438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明朝"/>
                <a:ea typeface="ＭＳ 明朝"/>
                <a:cs typeface="ＭＳ 明朝"/>
              </a:rPr>
              <a:t>力の多角形</a:t>
            </a:r>
          </a:p>
        </c:rich>
      </c:tx>
      <c:layout>
        <c:manualLayout>
          <c:xMode val="factor"/>
          <c:yMode val="factor"/>
          <c:x val="0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"/>
          <c:w val="0.88025"/>
          <c:h val="0.96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'土圧計算'!$V$5</c:f>
              <c:strCache>
                <c:ptCount val="1"/>
                <c:pt idx="0">
                  <c:v>後楔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'土圧計算'!$U$6:$U$16</c:f>
              <c:numCache/>
            </c:numRef>
          </c:xVal>
          <c:yVal>
            <c:numRef>
              <c:f>'土圧計算'!$V$6:$V$16</c:f>
              <c:numCache/>
            </c:numRef>
          </c:yVal>
          <c:smooth val="0"/>
        </c:ser>
        <c:ser>
          <c:idx val="1"/>
          <c:order val="1"/>
          <c:tx>
            <c:strRef>
              <c:f>'土圧計算'!$W$5</c:f>
              <c:strCache>
                <c:ptCount val="1"/>
                <c:pt idx="0">
                  <c:v>前楔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'土圧計算'!$U$6:$U$16</c:f>
              <c:numCache/>
            </c:numRef>
          </c:xVal>
          <c:yVal>
            <c:numRef>
              <c:f>'土圧計算'!$W$6:$W$16</c:f>
              <c:numCache/>
            </c:numRef>
          </c:yVal>
          <c:smooth val="0"/>
        </c:ser>
        <c:axId val="20075743"/>
        <c:axId val="46463960"/>
      </c:scatterChart>
      <c:valAx>
        <c:axId val="20075743"/>
        <c:scaling>
          <c:orientation val="minMax"/>
        </c:scaling>
        <c:axPos val="b"/>
        <c:delete val="1"/>
        <c:majorTickMark val="in"/>
        <c:minorTickMark val="none"/>
        <c:tickLblPos val="nextTo"/>
        <c:crossAx val="46463960"/>
        <c:crosses val="autoZero"/>
        <c:crossBetween val="midCat"/>
        <c:dispUnits/>
      </c:valAx>
      <c:valAx>
        <c:axId val="46463960"/>
        <c:scaling>
          <c:orientation val="minMax"/>
        </c:scaling>
        <c:axPos val="l"/>
        <c:delete val="1"/>
        <c:majorTickMark val="in"/>
        <c:minorTickMark val="none"/>
        <c:tickLblPos val="nextTo"/>
        <c:crossAx val="200757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'土圧計算'!$BW$4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'土圧計算'!$BW$5:$BW$58</c:f>
              <c:numCache>
                <c:ptCount val="54"/>
                <c:pt idx="0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5</c:v>
                </c:pt>
                <c:pt idx="4">
                  <c:v>5</c:v>
                </c:pt>
                <c:pt idx="5">
                  <c:v>0.5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'土圧計算'!$BX$4</c:f>
              <c:strCache>
                <c:ptCount val="1"/>
                <c:pt idx="0">
                  <c:v>地形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'土圧計算'!$BX$5:$BX$58</c:f>
              <c:numCache>
                <c:ptCount val="54"/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'土圧計算'!$BY$4</c:f>
              <c:strCache>
                <c:ptCount val="1"/>
                <c:pt idx="0">
                  <c:v>載荷重後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'土圧計算'!$BY$5:$BY$58</c:f>
              <c:numCache>
                <c:ptCount val="54"/>
                <c:pt idx="12">
                  <c:v>5</c:v>
                </c:pt>
                <c:pt idx="13">
                  <c:v>5.5</c:v>
                </c:pt>
                <c:pt idx="14">
                  <c:v>5.5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'土圧計算'!$BZ$4</c:f>
              <c:strCache>
                <c:ptCount val="1"/>
                <c:pt idx="0">
                  <c:v>載荷重前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'土圧計算'!$BZ$5:$BZ$58</c:f>
              <c:numCache>
                <c:ptCount val="54"/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'土圧計算'!$CA$4</c:f>
              <c:strCache>
                <c:ptCount val="1"/>
                <c:pt idx="0">
                  <c:v>仮想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'土圧計算'!$CA$5:$CA$58</c:f>
              <c:numCache>
                <c:ptCount val="54"/>
                <c:pt idx="19">
                  <c:v>0</c:v>
                </c:pt>
                <c:pt idx="20">
                  <c:v>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'土圧計算'!$CB$4</c:f>
              <c:strCache>
                <c:ptCount val="1"/>
                <c:pt idx="0">
                  <c:v>滑り面前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'土圧計算'!$CB$5:$CB$58</c:f>
              <c:numCache>
                <c:ptCount val="54"/>
                <c:pt idx="21">
                  <c:v>0</c:v>
                </c:pt>
                <c:pt idx="22">
                  <c:v>2.6149812270078137</c:v>
                </c:pt>
                <c:pt idx="23">
                  <c:v>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'土圧計算'!$CC$4</c:f>
              <c:strCache>
                <c:ptCount val="1"/>
                <c:pt idx="0">
                  <c:v>滑り面後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5"/>
            <c:spPr>
              <a:ln w="12700">
                <a:solidFill>
                  <a:srgbClr val="FF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'土圧計算'!$CC$5:$CC$58</c:f>
              <c:numCache>
                <c:ptCount val="54"/>
                <c:pt idx="24">
                  <c:v>0</c:v>
                </c:pt>
                <c:pt idx="25">
                  <c:v>5</c:v>
                </c:pt>
                <c:pt idx="26">
                  <c:v>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'土圧計算'!$CD$4</c:f>
              <c:strCache>
                <c:ptCount val="1"/>
                <c:pt idx="0">
                  <c:v>土圧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'土圧計算'!$CD$5:$CD$58</c:f>
              <c:numCache>
                <c:ptCount val="54"/>
                <c:pt idx="27">
                  <c:v>1.6666666666666667</c:v>
                </c:pt>
                <c:pt idx="28">
                  <c:v>1.7569383982717934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'土圧計算'!$CE$4</c:f>
              <c:strCache>
                <c:ptCount val="1"/>
                <c:pt idx="0">
                  <c:v>支柱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'土圧計算'!$CE$5:$CE$58</c:f>
              <c:numCache>
                <c:ptCount val="54"/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'土圧計算'!$CF$4</c:f>
              <c:strCache>
                <c:ptCount val="1"/>
                <c:pt idx="0">
                  <c:v>レール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'土圧計算'!$CF$5:$CF$58</c:f>
              <c:numCache>
                <c:ptCount val="54"/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'土圧計算'!$CG$4</c:f>
              <c:strCache>
                <c:ptCount val="1"/>
                <c:pt idx="0">
                  <c:v>衝突荷重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'土圧計算'!$CG$5:$CG$58</c:f>
              <c:numCache>
                <c:ptCount val="54"/>
                <c:pt idx="40">
                  <c:v>5</c:v>
                </c:pt>
                <c:pt idx="41">
                  <c:v>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'土圧計算'!$CH$4</c:f>
              <c:strCache>
                <c:ptCount val="1"/>
                <c:pt idx="0">
                  <c:v>合力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'土圧計算'!$CH$5:$CH$58</c:f>
              <c:numCache>
                <c:ptCount val="54"/>
                <c:pt idx="42">
                  <c:v>0</c:v>
                </c:pt>
                <c:pt idx="43">
                  <c:v>0.9690717316051266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'土圧計算'!$CI$4</c:f>
              <c:strCache>
                <c:ptCount val="1"/>
                <c:pt idx="0">
                  <c:v>自重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'土圧計算'!$CI$5:$CI$58</c:f>
              <c:numCache>
                <c:ptCount val="54"/>
                <c:pt idx="44">
                  <c:v>2.3143491124260356</c:v>
                </c:pt>
                <c:pt idx="45">
                  <c:v>1.4355491124260356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'土圧計算'!$CJ$4</c:f>
              <c:strCache>
                <c:ptCount val="1"/>
                <c:pt idx="0">
                  <c:v>慣性力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'土圧計算'!$CJ$5:$CJ$58</c:f>
              <c:numCache>
                <c:ptCount val="54"/>
                <c:pt idx="46">
                  <c:v>2.3143491124260356</c:v>
                </c:pt>
                <c:pt idx="47">
                  <c:v>2.3143491124260356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'土圧計算'!$CK$4</c:f>
              <c:strCache>
                <c:ptCount val="1"/>
                <c:pt idx="0">
                  <c:v>地盤反力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'土圧計算'!$CK$5:$CK$58</c:f>
              <c:numCache>
                <c:ptCount val="54"/>
                <c:pt idx="48">
                  <c:v>0</c:v>
                </c:pt>
                <c:pt idx="49">
                  <c:v>-0.5341248214962508</c:v>
                </c:pt>
                <c:pt idx="50">
                  <c:v>-0.24113256378785042</c:v>
                </c:pt>
                <c:pt idx="51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'土圧計算'!$CL$4</c:f>
              <c:strCache>
                <c:ptCount val="1"/>
                <c:pt idx="0">
                  <c:v>前面地盤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'土圧計算'!$CL$5:$CL$58</c:f>
              <c:numCache>
                <c:ptCount val="54"/>
                <c:pt idx="52">
                  <c:v>1</c:v>
                </c:pt>
                <c:pt idx="53">
                  <c:v>1</c:v>
                </c:pt>
              </c:numCache>
            </c:numRef>
          </c:yVal>
          <c:smooth val="0"/>
        </c:ser>
        <c:axId val="15522457"/>
        <c:axId val="5484386"/>
      </c:scatterChart>
      <c:valAx>
        <c:axId val="15522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84386"/>
        <c:crosses val="autoZero"/>
        <c:crossBetween val="midCat"/>
        <c:dispUnits/>
      </c:valAx>
      <c:valAx>
        <c:axId val="54843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52245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すべり角と土圧水平成分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975"/>
          <c:y val="0.12675"/>
          <c:w val="0.90075"/>
          <c:h val="0.87325"/>
        </c:manualLayout>
      </c:layout>
      <c:surface3DChart>
        <c:ser>
          <c:idx val="0"/>
          <c:order val="0"/>
          <c:tx>
            <c:strRef>
              <c:f>'土圧計算'!$AX$28</c:f>
              <c:strCache>
                <c:ptCount val="1"/>
                <c:pt idx="0">
                  <c:v>56.2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'土圧計算'!$AW$29:$AW$37</c:f>
              <c:numCache>
                <c:ptCount val="9"/>
                <c:pt idx="0">
                  <c:v>65.07254993056665</c:v>
                </c:pt>
                <c:pt idx="1">
                  <c:v>66.07254993056665</c:v>
                </c:pt>
                <c:pt idx="2">
                  <c:v>67.07254993056665</c:v>
                </c:pt>
                <c:pt idx="3">
                  <c:v>68.07254993056665</c:v>
                </c:pt>
                <c:pt idx="4">
                  <c:v>69.07254993056665</c:v>
                </c:pt>
                <c:pt idx="5">
                  <c:v>70.07254993056665</c:v>
                </c:pt>
                <c:pt idx="6">
                  <c:v>71.07254993056665</c:v>
                </c:pt>
                <c:pt idx="7">
                  <c:v>72.07254993056665</c:v>
                </c:pt>
                <c:pt idx="8">
                  <c:v>73.07254993056665</c:v>
                </c:pt>
              </c:numCache>
            </c:numRef>
          </c:cat>
          <c:val>
            <c:numRef>
              <c:f>'土圧計算'!$AX$29:$AX$37</c:f>
              <c:numCache>
                <c:ptCount val="9"/>
                <c:pt idx="0">
                  <c:v>70.37292807649867</c:v>
                </c:pt>
                <c:pt idx="1">
                  <c:v>70.59138943754427</c:v>
                </c:pt>
                <c:pt idx="2">
                  <c:v>70.7734882743497</c:v>
                </c:pt>
                <c:pt idx="3">
                  <c:v>70.91762724094254</c:v>
                </c:pt>
                <c:pt idx="4">
                  <c:v>71.02178752552007</c:v>
                </c:pt>
                <c:pt idx="5">
                  <c:v>71.08347282903334</c:v>
                </c:pt>
                <c:pt idx="6">
                  <c:v>71.09964301006143</c:v>
                </c:pt>
                <c:pt idx="7">
                  <c:v>71.06663765896901</c:v>
                </c:pt>
                <c:pt idx="8">
                  <c:v>70.98009195335833</c:v>
                </c:pt>
              </c:numCache>
            </c:numRef>
          </c:val>
        </c:ser>
        <c:ser>
          <c:idx val="1"/>
          <c:order val="1"/>
          <c:tx>
            <c:strRef>
              <c:f>'土圧計算'!$AY$28</c:f>
              <c:strCache>
                <c:ptCount val="1"/>
                <c:pt idx="0">
                  <c:v>57.2 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'土圧計算'!$AW$29:$AW$37</c:f>
              <c:numCache>
                <c:ptCount val="9"/>
                <c:pt idx="0">
                  <c:v>65.07254993056665</c:v>
                </c:pt>
                <c:pt idx="1">
                  <c:v>66.07254993056665</c:v>
                </c:pt>
                <c:pt idx="2">
                  <c:v>67.07254993056665</c:v>
                </c:pt>
                <c:pt idx="3">
                  <c:v>68.07254993056665</c:v>
                </c:pt>
                <c:pt idx="4">
                  <c:v>69.07254993056665</c:v>
                </c:pt>
                <c:pt idx="5">
                  <c:v>70.07254993056665</c:v>
                </c:pt>
                <c:pt idx="6">
                  <c:v>71.07254993056665</c:v>
                </c:pt>
                <c:pt idx="7">
                  <c:v>72.07254993056665</c:v>
                </c:pt>
                <c:pt idx="8">
                  <c:v>73.07254993056665</c:v>
                </c:pt>
              </c:numCache>
            </c:numRef>
          </c:cat>
          <c:val>
            <c:numRef>
              <c:f>'土圧計算'!$AY$29:$AY$37</c:f>
              <c:numCache>
                <c:ptCount val="9"/>
                <c:pt idx="0">
                  <c:v>70.72583235992485</c:v>
                </c:pt>
                <c:pt idx="1">
                  <c:v>70.95687014960602</c:v>
                </c:pt>
                <c:pt idx="2">
                  <c:v>71.15046426988053</c:v>
                </c:pt>
                <c:pt idx="3">
                  <c:v>71.30491534411699</c:v>
                </c:pt>
                <c:pt idx="4">
                  <c:v>71.41808839088162</c:v>
                </c:pt>
                <c:pt idx="5">
                  <c:v>71.48735392836535</c:v>
                </c:pt>
                <c:pt idx="6">
                  <c:v>71.50951831830254</c:v>
                </c:pt>
                <c:pt idx="7">
                  <c:v>71.48074359154867</c:v>
                </c:pt>
                <c:pt idx="8">
                  <c:v>71.39645916083897</c:v>
                </c:pt>
              </c:numCache>
            </c:numRef>
          </c:val>
        </c:ser>
        <c:ser>
          <c:idx val="2"/>
          <c:order val="2"/>
          <c:tx>
            <c:strRef>
              <c:f>'土圧計算'!$AZ$28</c:f>
              <c:strCache>
                <c:ptCount val="1"/>
                <c:pt idx="0">
                  <c:v>58.2 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'土圧計算'!$AW$29:$AW$37</c:f>
              <c:numCache>
                <c:ptCount val="9"/>
                <c:pt idx="0">
                  <c:v>65.07254993056665</c:v>
                </c:pt>
                <c:pt idx="1">
                  <c:v>66.07254993056665</c:v>
                </c:pt>
                <c:pt idx="2">
                  <c:v>67.07254993056665</c:v>
                </c:pt>
                <c:pt idx="3">
                  <c:v>68.07254993056665</c:v>
                </c:pt>
                <c:pt idx="4">
                  <c:v>69.07254993056665</c:v>
                </c:pt>
                <c:pt idx="5">
                  <c:v>70.07254993056665</c:v>
                </c:pt>
                <c:pt idx="6">
                  <c:v>71.07254993056665</c:v>
                </c:pt>
                <c:pt idx="7">
                  <c:v>72.07254993056665</c:v>
                </c:pt>
                <c:pt idx="8">
                  <c:v>73.07254993056665</c:v>
                </c:pt>
              </c:numCache>
            </c:numRef>
          </c:cat>
          <c:val>
            <c:numRef>
              <c:f>'土圧計算'!$AZ$29:$AZ$37</c:f>
              <c:numCache>
                <c:ptCount val="9"/>
                <c:pt idx="0">
                  <c:v>70.95913422642069</c:v>
                </c:pt>
                <c:pt idx="1">
                  <c:v>71.20089116466373</c:v>
                </c:pt>
                <c:pt idx="2">
                  <c:v>71.40421101597981</c:v>
                </c:pt>
                <c:pt idx="3">
                  <c:v>71.56728882621721</c:v>
                </c:pt>
                <c:pt idx="4">
                  <c:v>71.68787021565812</c:v>
                </c:pt>
                <c:pt idx="5">
                  <c:v>71.76318960099579</c:v>
                </c:pt>
                <c:pt idx="6">
                  <c:v>71.78989722937843</c:v>
                </c:pt>
                <c:pt idx="7">
                  <c:v>71.7639752442396</c:v>
                </c:pt>
                <c:pt idx="8">
                  <c:v>71.6806452388361</c:v>
                </c:pt>
              </c:numCache>
            </c:numRef>
          </c:val>
        </c:ser>
        <c:ser>
          <c:idx val="3"/>
          <c:order val="3"/>
          <c:tx>
            <c:strRef>
              <c:f>'土圧計算'!$BA$28</c:f>
              <c:strCache>
                <c:ptCount val="1"/>
                <c:pt idx="0">
                  <c:v>59.2 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'土圧計算'!$AW$29:$AW$37</c:f>
              <c:numCache>
                <c:ptCount val="9"/>
                <c:pt idx="0">
                  <c:v>65.07254993056665</c:v>
                </c:pt>
                <c:pt idx="1">
                  <c:v>66.07254993056665</c:v>
                </c:pt>
                <c:pt idx="2">
                  <c:v>67.07254993056665</c:v>
                </c:pt>
                <c:pt idx="3">
                  <c:v>68.07254993056665</c:v>
                </c:pt>
                <c:pt idx="4">
                  <c:v>69.07254993056665</c:v>
                </c:pt>
                <c:pt idx="5">
                  <c:v>70.07254993056665</c:v>
                </c:pt>
                <c:pt idx="6">
                  <c:v>71.07254993056665</c:v>
                </c:pt>
                <c:pt idx="7">
                  <c:v>72.07254993056665</c:v>
                </c:pt>
                <c:pt idx="8">
                  <c:v>73.07254993056665</c:v>
                </c:pt>
              </c:numCache>
            </c:numRef>
          </c:cat>
          <c:val>
            <c:numRef>
              <c:f>'土圧計算'!$BA$29:$BA$37</c:f>
              <c:numCache>
                <c:ptCount val="9"/>
                <c:pt idx="0">
                  <c:v>71.08117346533538</c:v>
                </c:pt>
                <c:pt idx="1">
                  <c:v>71.33176655282972</c:v>
                </c:pt>
                <c:pt idx="2">
                  <c:v>71.54301057135454</c:v>
                </c:pt>
                <c:pt idx="3">
                  <c:v>71.71299187146347</c:v>
                </c:pt>
                <c:pt idx="4">
                  <c:v>71.83933381900756</c:v>
                </c:pt>
                <c:pt idx="5">
                  <c:v>71.91913212958147</c:v>
                </c:pt>
                <c:pt idx="6">
                  <c:v>71.94887858628054</c:v>
                </c:pt>
                <c:pt idx="7">
                  <c:v>71.92437333649889</c:v>
                </c:pt>
                <c:pt idx="8">
                  <c:v>71.84062827112399</c:v>
                </c:pt>
              </c:numCache>
            </c:numRef>
          </c:val>
        </c:ser>
        <c:ser>
          <c:idx val="4"/>
          <c:order val="4"/>
          <c:tx>
            <c:strRef>
              <c:f>'土圧計算'!$BB$28</c:f>
              <c:strCache>
                <c:ptCount val="1"/>
                <c:pt idx="0">
                  <c:v>60.2 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'土圧計算'!$AW$29:$AW$37</c:f>
              <c:numCache>
                <c:ptCount val="9"/>
                <c:pt idx="0">
                  <c:v>65.07254993056665</c:v>
                </c:pt>
                <c:pt idx="1">
                  <c:v>66.07254993056665</c:v>
                </c:pt>
                <c:pt idx="2">
                  <c:v>67.07254993056665</c:v>
                </c:pt>
                <c:pt idx="3">
                  <c:v>68.07254993056665</c:v>
                </c:pt>
                <c:pt idx="4">
                  <c:v>69.07254993056665</c:v>
                </c:pt>
                <c:pt idx="5">
                  <c:v>70.07254993056665</c:v>
                </c:pt>
                <c:pt idx="6">
                  <c:v>71.07254993056665</c:v>
                </c:pt>
                <c:pt idx="7">
                  <c:v>72.07254993056665</c:v>
                </c:pt>
                <c:pt idx="8">
                  <c:v>73.07254993056665</c:v>
                </c:pt>
              </c:numCache>
            </c:numRef>
          </c:cat>
          <c:val>
            <c:numRef>
              <c:f>'土圧計算'!$BB$29:$BB$37</c:f>
              <c:numCache>
                <c:ptCount val="9"/>
                <c:pt idx="0">
                  <c:v>71.09946187095501</c:v>
                </c:pt>
                <c:pt idx="1">
                  <c:v>71.35699126306591</c:v>
                </c:pt>
                <c:pt idx="2">
                  <c:v>71.57433482128519</c:v>
                </c:pt>
                <c:pt idx="3">
                  <c:v>71.74946747361444</c:v>
                </c:pt>
                <c:pt idx="4">
                  <c:v>71.87988781517002</c:v>
                </c:pt>
                <c:pt idx="5">
                  <c:v>71.96255055244069</c:v>
                </c:pt>
                <c:pt idx="6">
                  <c:v>71.99378690016782</c:v>
                </c:pt>
                <c:pt idx="7">
                  <c:v>71.96921310110993</c:v>
                </c:pt>
                <c:pt idx="8">
                  <c:v>71.88362961663846</c:v>
                </c:pt>
              </c:numCache>
            </c:numRef>
          </c:val>
        </c:ser>
        <c:ser>
          <c:idx val="5"/>
          <c:order val="5"/>
          <c:tx>
            <c:strRef>
              <c:f>'土圧計算'!$BC$28</c:f>
              <c:strCache>
                <c:ptCount val="1"/>
                <c:pt idx="0">
                  <c:v>61.2 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'土圧計算'!$AW$29:$AW$37</c:f>
              <c:numCache>
                <c:ptCount val="9"/>
                <c:pt idx="0">
                  <c:v>65.07254993056665</c:v>
                </c:pt>
                <c:pt idx="1">
                  <c:v>66.07254993056665</c:v>
                </c:pt>
                <c:pt idx="2">
                  <c:v>67.07254993056665</c:v>
                </c:pt>
                <c:pt idx="3">
                  <c:v>68.07254993056665</c:v>
                </c:pt>
                <c:pt idx="4">
                  <c:v>69.07254993056665</c:v>
                </c:pt>
                <c:pt idx="5">
                  <c:v>70.07254993056665</c:v>
                </c:pt>
                <c:pt idx="6">
                  <c:v>71.07254993056665</c:v>
                </c:pt>
                <c:pt idx="7">
                  <c:v>72.07254993056665</c:v>
                </c:pt>
                <c:pt idx="8">
                  <c:v>73.07254993056665</c:v>
                </c:pt>
              </c:numCache>
            </c:numRef>
          </c:cat>
          <c:val>
            <c:numRef>
              <c:f>'土圧計算'!$BC$29:$BC$37</c:f>
              <c:numCache>
                <c:ptCount val="9"/>
                <c:pt idx="0">
                  <c:v>71.02076965848192</c:v>
                </c:pt>
                <c:pt idx="1">
                  <c:v>71.28332556753854</c:v>
                </c:pt>
                <c:pt idx="2">
                  <c:v>71.5049280024939</c:v>
                </c:pt>
                <c:pt idx="3">
                  <c:v>71.68343809375057</c:v>
                </c:pt>
                <c:pt idx="4">
                  <c:v>71.816227456291</c:v>
                </c:pt>
                <c:pt idx="5">
                  <c:v>71.90010774282636</c:v>
                </c:pt>
                <c:pt idx="6">
                  <c:v>71.93124771643248</c:v>
                </c:pt>
                <c:pt idx="7">
                  <c:v>71.90507798603136</c:v>
                </c:pt>
                <c:pt idx="8">
                  <c:v>71.81618599451883</c:v>
                </c:pt>
              </c:numCache>
            </c:numRef>
          </c:val>
        </c:ser>
        <c:ser>
          <c:idx val="6"/>
          <c:order val="6"/>
          <c:tx>
            <c:strRef>
              <c:f>'土圧計算'!$BD$28</c:f>
              <c:strCache>
                <c:ptCount val="1"/>
                <c:pt idx="0">
                  <c:v>62.2 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'土圧計算'!$AW$29:$AW$37</c:f>
              <c:numCache>
                <c:ptCount val="9"/>
                <c:pt idx="0">
                  <c:v>65.07254993056665</c:v>
                </c:pt>
                <c:pt idx="1">
                  <c:v>66.07254993056665</c:v>
                </c:pt>
                <c:pt idx="2">
                  <c:v>67.07254993056665</c:v>
                </c:pt>
                <c:pt idx="3">
                  <c:v>68.07254993056665</c:v>
                </c:pt>
                <c:pt idx="4">
                  <c:v>69.07254993056665</c:v>
                </c:pt>
                <c:pt idx="5">
                  <c:v>70.07254993056665</c:v>
                </c:pt>
                <c:pt idx="6">
                  <c:v>71.07254993056665</c:v>
                </c:pt>
                <c:pt idx="7">
                  <c:v>72.07254993056665</c:v>
                </c:pt>
                <c:pt idx="8">
                  <c:v>73.07254993056665</c:v>
                </c:pt>
              </c:numCache>
            </c:numRef>
          </c:cat>
          <c:val>
            <c:numRef>
              <c:f>'土圧計算'!$BD$29:$BD$37</c:f>
              <c:numCache>
                <c:ptCount val="9"/>
                <c:pt idx="0">
                  <c:v>70.85120133164214</c:v>
                </c:pt>
                <c:pt idx="1">
                  <c:v>71.11686929389484</c:v>
                </c:pt>
                <c:pt idx="2">
                  <c:v>71.34087933552647</c:v>
                </c:pt>
                <c:pt idx="3">
                  <c:v>71.52097672923811</c:v>
                </c:pt>
                <c:pt idx="4">
                  <c:v>71.65440417494382</c:v>
                </c:pt>
                <c:pt idx="5">
                  <c:v>71.73782846203486</c:v>
                </c:pt>
                <c:pt idx="6">
                  <c:v>71.76725421510422</c:v>
                </c:pt>
                <c:pt idx="7">
                  <c:v>71.73792483817833</c:v>
                </c:pt>
                <c:pt idx="8">
                  <c:v>71.644213286464</c:v>
                </c:pt>
              </c:numCache>
            </c:numRef>
          </c:val>
        </c:ser>
        <c:ser>
          <c:idx val="7"/>
          <c:order val="7"/>
          <c:tx>
            <c:strRef>
              <c:f>'土圧計算'!$BE$28</c:f>
              <c:strCache>
                <c:ptCount val="1"/>
                <c:pt idx="0">
                  <c:v>63.2 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'土圧計算'!$AW$29:$AW$37</c:f>
              <c:numCache>
                <c:ptCount val="9"/>
                <c:pt idx="0">
                  <c:v>65.07254993056665</c:v>
                </c:pt>
                <c:pt idx="1">
                  <c:v>66.07254993056665</c:v>
                </c:pt>
                <c:pt idx="2">
                  <c:v>67.07254993056665</c:v>
                </c:pt>
                <c:pt idx="3">
                  <c:v>68.07254993056665</c:v>
                </c:pt>
                <c:pt idx="4">
                  <c:v>69.07254993056665</c:v>
                </c:pt>
                <c:pt idx="5">
                  <c:v>70.07254993056665</c:v>
                </c:pt>
                <c:pt idx="6">
                  <c:v>71.07254993056665</c:v>
                </c:pt>
                <c:pt idx="7">
                  <c:v>72.07254993056665</c:v>
                </c:pt>
                <c:pt idx="8">
                  <c:v>73.07254993056665</c:v>
                </c:pt>
              </c:numCache>
            </c:numRef>
          </c:cat>
          <c:val>
            <c:numRef>
              <c:f>'土圧計算'!$BE$29:$BE$37</c:f>
              <c:numCache>
                <c:ptCount val="9"/>
                <c:pt idx="0">
                  <c:v>70.59626241376793</c:v>
                </c:pt>
                <c:pt idx="1">
                  <c:v>70.86312719774318</c:v>
                </c:pt>
                <c:pt idx="2">
                  <c:v>71.08768706121286</c:v>
                </c:pt>
                <c:pt idx="3">
                  <c:v>71.2675696382911</c:v>
                </c:pt>
                <c:pt idx="4">
                  <c:v>71.39988702192863</c:v>
                </c:pt>
                <c:pt idx="5">
                  <c:v>71.48115953615243</c:v>
                </c:pt>
                <c:pt idx="6">
                  <c:v>71.5072261524555</c:v>
                </c:pt>
                <c:pt idx="7">
                  <c:v>71.47314163568426</c:v>
                </c:pt>
                <c:pt idx="8">
                  <c:v>71.37306308506551</c:v>
                </c:pt>
              </c:numCache>
            </c:numRef>
          </c:val>
        </c:ser>
        <c:ser>
          <c:idx val="8"/>
          <c:order val="8"/>
          <c:tx>
            <c:strRef>
              <c:f>'土圧計算'!$BF$28</c:f>
              <c:strCache>
                <c:ptCount val="1"/>
                <c:pt idx="0">
                  <c:v>64.2 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'土圧計算'!$AW$29:$AW$37</c:f>
              <c:numCache>
                <c:ptCount val="9"/>
                <c:pt idx="0">
                  <c:v>65.07254993056665</c:v>
                </c:pt>
                <c:pt idx="1">
                  <c:v>66.07254993056665</c:v>
                </c:pt>
                <c:pt idx="2">
                  <c:v>67.07254993056665</c:v>
                </c:pt>
                <c:pt idx="3">
                  <c:v>68.07254993056665</c:v>
                </c:pt>
                <c:pt idx="4">
                  <c:v>69.07254993056665</c:v>
                </c:pt>
                <c:pt idx="5">
                  <c:v>70.07254993056665</c:v>
                </c:pt>
                <c:pt idx="6">
                  <c:v>71.07254993056665</c:v>
                </c:pt>
                <c:pt idx="7">
                  <c:v>72.07254993056665</c:v>
                </c:pt>
                <c:pt idx="8">
                  <c:v>73.07254993056665</c:v>
                </c:pt>
              </c:numCache>
            </c:numRef>
          </c:cat>
          <c:val>
            <c:numRef>
              <c:f>'土圧計算'!$BF$29:$BF$37</c:f>
              <c:numCache>
                <c:ptCount val="9"/>
                <c:pt idx="0">
                  <c:v>70.26091824464862</c:v>
                </c:pt>
                <c:pt idx="1">
                  <c:v>70.52706662886192</c:v>
                </c:pt>
                <c:pt idx="2">
                  <c:v>70.75031498895986</c:v>
                </c:pt>
                <c:pt idx="3">
                  <c:v>70.9281717849066</c:v>
                </c:pt>
                <c:pt idx="4">
                  <c:v>71.05761702374764</c:v>
                </c:pt>
                <c:pt idx="5">
                  <c:v>71.1350231428817</c:v>
                </c:pt>
                <c:pt idx="6">
                  <c:v>71.15606209454342</c:v>
                </c:pt>
                <c:pt idx="7">
                  <c:v>71.11559868576191</c:v>
                </c:pt>
                <c:pt idx="8">
                  <c:v>71.00757287356143</c:v>
                </c:pt>
              </c:numCache>
            </c:numRef>
          </c:val>
        </c:ser>
        <c:axId val="49359475"/>
        <c:axId val="41582092"/>
        <c:axId val="38694509"/>
      </c:surface3DChart>
      <c:catAx>
        <c:axId val="4935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ω2(deg)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41582092"/>
        <c:crosses val="autoZero"/>
        <c:auto val="1"/>
        <c:lblOffset val="100"/>
        <c:noMultiLvlLbl val="0"/>
      </c:catAx>
      <c:valAx>
        <c:axId val="41582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1" u="none" baseline="0"/>
                  <a:t>P</a:t>
                </a:r>
                <a:r>
                  <a:rPr lang="en-US" cap="none" sz="1200" b="0" i="1" u="none" baseline="-25000"/>
                  <a:t>AH</a:t>
                </a:r>
                <a:r>
                  <a:rPr lang="en-US" cap="none" sz="1200" b="0" i="0" u="none" baseline="0"/>
                  <a:t>(kN/m)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9359475"/>
        <c:crossesAt val="1"/>
        <c:crossBetween val="between"/>
        <c:dispUnits/>
      </c:valAx>
      <c:serAx>
        <c:axId val="3869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ω1(deg)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4158209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明朝"/>
                <a:ea typeface="ＭＳ 明朝"/>
                <a:cs typeface="ＭＳ 明朝"/>
              </a:rPr>
              <a:t>力の多角形</a:t>
            </a:r>
          </a:p>
        </c:rich>
      </c:tx>
      <c:layout>
        <c:manualLayout>
          <c:xMode val="factor"/>
          <c:yMode val="factor"/>
          <c:x val="0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5"/>
          <c:y val="0.049"/>
          <c:w val="0.81725"/>
          <c:h val="0.8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'土圧計算'!$V$5</c:f>
              <c:strCache>
                <c:ptCount val="1"/>
                <c:pt idx="0">
                  <c:v>後楔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'土圧計算'!$U$6:$U$16</c:f>
              <c:numCache>
                <c:ptCount val="11"/>
                <c:pt idx="0">
                  <c:v>0</c:v>
                </c:pt>
                <c:pt idx="1">
                  <c:v>-72.352775847544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-72.352775847544</c:v>
                </c:pt>
                <c:pt idx="6">
                  <c:v>-14.391699966805852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'土圧計算'!$V$6:$V$16</c:f>
              <c:numCache>
                <c:ptCount val="11"/>
                <c:pt idx="0">
                  <c:v>0</c:v>
                </c:pt>
                <c:pt idx="1">
                  <c:v>153.52984270755087</c:v>
                </c:pt>
                <c:pt idx="2">
                  <c:v>171.5841890285762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'土圧計算'!$W$5</c:f>
              <c:strCache>
                <c:ptCount val="1"/>
                <c:pt idx="0">
                  <c:v>前楔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'土圧計算'!$U$6:$U$16</c:f>
              <c:numCache>
                <c:ptCount val="11"/>
                <c:pt idx="0">
                  <c:v>0</c:v>
                </c:pt>
                <c:pt idx="1">
                  <c:v>-72.352775847544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-72.352775847544</c:v>
                </c:pt>
                <c:pt idx="6">
                  <c:v>-14.391699966805852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'土圧計算'!$W$6:$W$16</c:f>
              <c:numCache>
                <c:ptCount val="11"/>
                <c:pt idx="5">
                  <c:v>153.52984270755087</c:v>
                </c:pt>
                <c:pt idx="6">
                  <c:v>239.2264033707023</c:v>
                </c:pt>
                <c:pt idx="7">
                  <c:v>245.43437675849808</c:v>
                </c:pt>
                <c:pt idx="8">
                  <c:v>171.58418902857622</c:v>
                </c:pt>
                <c:pt idx="9">
                  <c:v>171.58418902857622</c:v>
                </c:pt>
              </c:numCache>
            </c:numRef>
          </c:yVal>
          <c:smooth val="0"/>
        </c:ser>
        <c:axId val="12706262"/>
        <c:axId val="47247495"/>
      </c:scatterChart>
      <c:valAx>
        <c:axId val="12706262"/>
        <c:scaling>
          <c:orientation val="minMax"/>
        </c:scaling>
        <c:axPos val="b"/>
        <c:delete val="1"/>
        <c:majorTickMark val="in"/>
        <c:minorTickMark val="none"/>
        <c:tickLblPos val="nextTo"/>
        <c:crossAx val="47247495"/>
        <c:crosses val="autoZero"/>
        <c:crossBetween val="midCat"/>
        <c:dispUnits/>
      </c:valAx>
      <c:valAx>
        <c:axId val="47247495"/>
        <c:scaling>
          <c:orientation val="minMax"/>
        </c:scaling>
        <c:axPos val="l"/>
        <c:delete val="1"/>
        <c:majorTickMark val="in"/>
        <c:minorTickMark val="none"/>
        <c:tickLblPos val="nextTo"/>
        <c:crossAx val="1270626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'土圧計算'!$BW$4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'土圧計算'!$BV$5:$BV$33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</c:numCache>
            </c:numRef>
          </c:xVal>
          <c:yVal>
            <c:numRef>
              <c:f>'土圧計算'!$BW$5:$BW$33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5</c:v>
                </c:pt>
                <c:pt idx="4">
                  <c:v>5</c:v>
                </c:pt>
                <c:pt idx="5">
                  <c:v>0.5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'土圧計算'!$BX$4</c:f>
              <c:strCache>
                <c:ptCount val="1"/>
                <c:pt idx="0">
                  <c:v>地形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'土圧計算'!$BV$5:$BV$33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</c:numCache>
            </c:numRef>
          </c:xVal>
          <c:yVal>
            <c:numRef>
              <c:f>'土圧計算'!$BX$5:$BX$33</c:f>
              <c:numCache>
                <c:ptCount val="29"/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'土圧計算'!$BY$4</c:f>
              <c:strCache>
                <c:ptCount val="1"/>
                <c:pt idx="0">
                  <c:v>載荷重後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'土圧計算'!$BV$5:$BV$33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</c:numCache>
            </c:numRef>
          </c:xVal>
          <c:yVal>
            <c:numRef>
              <c:f>'土圧計算'!$BY$5:$BY$33</c:f>
              <c:numCache>
                <c:ptCount val="29"/>
                <c:pt idx="12">
                  <c:v>5</c:v>
                </c:pt>
                <c:pt idx="13">
                  <c:v>5.5</c:v>
                </c:pt>
                <c:pt idx="14">
                  <c:v>5.5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'土圧計算'!$BZ$4</c:f>
              <c:strCache>
                <c:ptCount val="1"/>
                <c:pt idx="0">
                  <c:v>載荷重前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'土圧計算'!$BV$5:$BV$33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</c:numCache>
            </c:numRef>
          </c:xVal>
          <c:yVal>
            <c:numRef>
              <c:f>'土圧計算'!$BZ$5:$BZ$33</c:f>
              <c:numCache>
                <c:ptCount val="29"/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'土圧計算'!$CA$4</c:f>
              <c:strCache>
                <c:ptCount val="1"/>
                <c:pt idx="0">
                  <c:v>仮想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'土圧計算'!$BV$5:$BV$33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</c:numCache>
            </c:numRef>
          </c:xVal>
          <c:yVal>
            <c:numRef>
              <c:f>'土圧計算'!$CA$5:$CA$33</c:f>
              <c:numCache>
                <c:ptCount val="29"/>
                <c:pt idx="19">
                  <c:v>0</c:v>
                </c:pt>
                <c:pt idx="20">
                  <c:v>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'土圧計算'!$CB$4</c:f>
              <c:strCache>
                <c:ptCount val="1"/>
                <c:pt idx="0">
                  <c:v>滑り面前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'土圧計算'!$BV$5:$BV$33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</c:numCache>
            </c:numRef>
          </c:xVal>
          <c:yVal>
            <c:numRef>
              <c:f>'土圧計算'!$CB$5:$CB$33</c:f>
              <c:numCache>
                <c:ptCount val="29"/>
                <c:pt idx="21">
                  <c:v>0</c:v>
                </c:pt>
                <c:pt idx="22">
                  <c:v>2.6149812270078137</c:v>
                </c:pt>
                <c:pt idx="23">
                  <c:v>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'土圧計算'!$CC$4</c:f>
              <c:strCache>
                <c:ptCount val="1"/>
                <c:pt idx="0">
                  <c:v>滑り面後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'土圧計算'!$BV$5:$BV$33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</c:numCache>
            </c:numRef>
          </c:xVal>
          <c:yVal>
            <c:numRef>
              <c:f>'土圧計算'!$CC$5:$CC$33</c:f>
              <c:numCache>
                <c:ptCount val="29"/>
                <c:pt idx="24">
                  <c:v>0</c:v>
                </c:pt>
                <c:pt idx="25">
                  <c:v>5</c:v>
                </c:pt>
                <c:pt idx="26">
                  <c:v>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'土圧計算'!$CD$4</c:f>
              <c:strCache>
                <c:ptCount val="1"/>
                <c:pt idx="0">
                  <c:v>土圧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'土圧計算'!$BV$5:$BV$33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</c:numCache>
            </c:numRef>
          </c:xVal>
          <c:yVal>
            <c:numRef>
              <c:f>'土圧計算'!$CD$5:$CD$33</c:f>
              <c:numCache>
                <c:ptCount val="29"/>
                <c:pt idx="27">
                  <c:v>1.6666666666666667</c:v>
                </c:pt>
                <c:pt idx="28">
                  <c:v>1.7569383982717934</c:v>
                </c:pt>
              </c:numCache>
            </c:numRef>
          </c:yVal>
          <c:smooth val="0"/>
        </c:ser>
        <c:axId val="22574272"/>
        <c:axId val="1841857"/>
      </c:scatterChart>
      <c:valAx>
        <c:axId val="22574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841857"/>
        <c:crosses val="autoZero"/>
        <c:crossBetween val="midCat"/>
        <c:dispUnits/>
      </c:valAx>
      <c:valAx>
        <c:axId val="18418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257427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明朝"/>
                <a:ea typeface="ＭＳ 明朝"/>
                <a:cs typeface="ＭＳ 明朝"/>
              </a:rPr>
              <a:t>すべり角と土圧水平成分の関係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55"/>
          <c:y val="0.15575"/>
          <c:w val="0.9945"/>
          <c:h val="0.84425"/>
        </c:manualLayout>
      </c:layout>
      <c:surface3DChart>
        <c:wireframe val="1"/>
        <c:ser>
          <c:idx val="0"/>
          <c:order val="0"/>
          <c:tx>
            <c:strRef>
              <c:f>'土圧計算'!$AX$28</c:f>
              <c:strCache>
                <c:ptCount val="1"/>
                <c:pt idx="0">
                  <c:v>56.2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'土圧計算'!$AW$29:$AW$37</c:f>
              <c:numCache>
                <c:ptCount val="9"/>
                <c:pt idx="0">
                  <c:v>65.07254993056665</c:v>
                </c:pt>
                <c:pt idx="1">
                  <c:v>66.07254993056665</c:v>
                </c:pt>
                <c:pt idx="2">
                  <c:v>67.07254993056665</c:v>
                </c:pt>
                <c:pt idx="3">
                  <c:v>68.07254993056665</c:v>
                </c:pt>
                <c:pt idx="4">
                  <c:v>69.07254993056665</c:v>
                </c:pt>
                <c:pt idx="5">
                  <c:v>70.07254993056665</c:v>
                </c:pt>
                <c:pt idx="6">
                  <c:v>71.07254993056665</c:v>
                </c:pt>
                <c:pt idx="7">
                  <c:v>72.07254993056665</c:v>
                </c:pt>
                <c:pt idx="8">
                  <c:v>73.07254993056665</c:v>
                </c:pt>
              </c:numCache>
            </c:numRef>
          </c:cat>
          <c:val>
            <c:numRef>
              <c:f>'土圧計算'!$AX$29:$AX$37</c:f>
              <c:numCache>
                <c:ptCount val="9"/>
                <c:pt idx="0">
                  <c:v>70.37292807649867</c:v>
                </c:pt>
                <c:pt idx="1">
                  <c:v>70.59138943754427</c:v>
                </c:pt>
                <c:pt idx="2">
                  <c:v>70.7734882743497</c:v>
                </c:pt>
                <c:pt idx="3">
                  <c:v>70.91762724094254</c:v>
                </c:pt>
                <c:pt idx="4">
                  <c:v>71.02178752552007</c:v>
                </c:pt>
                <c:pt idx="5">
                  <c:v>71.08347282903334</c:v>
                </c:pt>
                <c:pt idx="6">
                  <c:v>71.09964301006143</c:v>
                </c:pt>
                <c:pt idx="7">
                  <c:v>71.06663765896901</c:v>
                </c:pt>
                <c:pt idx="8">
                  <c:v>70.98009195335833</c:v>
                </c:pt>
              </c:numCache>
            </c:numRef>
          </c:val>
        </c:ser>
        <c:ser>
          <c:idx val="1"/>
          <c:order val="1"/>
          <c:tx>
            <c:strRef>
              <c:f>'土圧計算'!$AY$28</c:f>
              <c:strCache>
                <c:ptCount val="1"/>
                <c:pt idx="0">
                  <c:v>57.2 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'土圧計算'!$AW$29:$AW$37</c:f>
              <c:numCache>
                <c:ptCount val="9"/>
                <c:pt idx="0">
                  <c:v>65.07254993056665</c:v>
                </c:pt>
                <c:pt idx="1">
                  <c:v>66.07254993056665</c:v>
                </c:pt>
                <c:pt idx="2">
                  <c:v>67.07254993056665</c:v>
                </c:pt>
                <c:pt idx="3">
                  <c:v>68.07254993056665</c:v>
                </c:pt>
                <c:pt idx="4">
                  <c:v>69.07254993056665</c:v>
                </c:pt>
                <c:pt idx="5">
                  <c:v>70.07254993056665</c:v>
                </c:pt>
                <c:pt idx="6">
                  <c:v>71.07254993056665</c:v>
                </c:pt>
                <c:pt idx="7">
                  <c:v>72.07254993056665</c:v>
                </c:pt>
                <c:pt idx="8">
                  <c:v>73.07254993056665</c:v>
                </c:pt>
              </c:numCache>
            </c:numRef>
          </c:cat>
          <c:val>
            <c:numRef>
              <c:f>'土圧計算'!$AY$29:$AY$37</c:f>
              <c:numCache>
                <c:ptCount val="9"/>
                <c:pt idx="0">
                  <c:v>70.72583235992485</c:v>
                </c:pt>
                <c:pt idx="1">
                  <c:v>70.95687014960602</c:v>
                </c:pt>
                <c:pt idx="2">
                  <c:v>71.15046426988053</c:v>
                </c:pt>
                <c:pt idx="3">
                  <c:v>71.30491534411699</c:v>
                </c:pt>
                <c:pt idx="4">
                  <c:v>71.41808839088162</c:v>
                </c:pt>
                <c:pt idx="5">
                  <c:v>71.48735392836535</c:v>
                </c:pt>
                <c:pt idx="6">
                  <c:v>71.50951831830254</c:v>
                </c:pt>
                <c:pt idx="7">
                  <c:v>71.48074359154867</c:v>
                </c:pt>
                <c:pt idx="8">
                  <c:v>71.39645916083897</c:v>
                </c:pt>
              </c:numCache>
            </c:numRef>
          </c:val>
        </c:ser>
        <c:ser>
          <c:idx val="2"/>
          <c:order val="2"/>
          <c:tx>
            <c:strRef>
              <c:f>'土圧計算'!$AZ$28</c:f>
              <c:strCache>
                <c:ptCount val="1"/>
                <c:pt idx="0">
                  <c:v>58.2 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'土圧計算'!$AW$29:$AW$37</c:f>
              <c:numCache>
                <c:ptCount val="9"/>
                <c:pt idx="0">
                  <c:v>65.07254993056665</c:v>
                </c:pt>
                <c:pt idx="1">
                  <c:v>66.07254993056665</c:v>
                </c:pt>
                <c:pt idx="2">
                  <c:v>67.07254993056665</c:v>
                </c:pt>
                <c:pt idx="3">
                  <c:v>68.07254993056665</c:v>
                </c:pt>
                <c:pt idx="4">
                  <c:v>69.07254993056665</c:v>
                </c:pt>
                <c:pt idx="5">
                  <c:v>70.07254993056665</c:v>
                </c:pt>
                <c:pt idx="6">
                  <c:v>71.07254993056665</c:v>
                </c:pt>
                <c:pt idx="7">
                  <c:v>72.07254993056665</c:v>
                </c:pt>
                <c:pt idx="8">
                  <c:v>73.07254993056665</c:v>
                </c:pt>
              </c:numCache>
            </c:numRef>
          </c:cat>
          <c:val>
            <c:numRef>
              <c:f>'土圧計算'!$AZ$29:$AZ$37</c:f>
              <c:numCache>
                <c:ptCount val="9"/>
                <c:pt idx="0">
                  <c:v>70.95913422642069</c:v>
                </c:pt>
                <c:pt idx="1">
                  <c:v>71.20089116466373</c:v>
                </c:pt>
                <c:pt idx="2">
                  <c:v>71.40421101597981</c:v>
                </c:pt>
                <c:pt idx="3">
                  <c:v>71.56728882621721</c:v>
                </c:pt>
                <c:pt idx="4">
                  <c:v>71.68787021565812</c:v>
                </c:pt>
                <c:pt idx="5">
                  <c:v>71.76318960099579</c:v>
                </c:pt>
                <c:pt idx="6">
                  <c:v>71.78989722937843</c:v>
                </c:pt>
                <c:pt idx="7">
                  <c:v>71.7639752442396</c:v>
                </c:pt>
                <c:pt idx="8">
                  <c:v>71.6806452388361</c:v>
                </c:pt>
              </c:numCache>
            </c:numRef>
          </c:val>
        </c:ser>
        <c:ser>
          <c:idx val="3"/>
          <c:order val="3"/>
          <c:tx>
            <c:strRef>
              <c:f>'土圧計算'!$BA$28</c:f>
              <c:strCache>
                <c:ptCount val="1"/>
                <c:pt idx="0">
                  <c:v>59.2 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'土圧計算'!$AW$29:$AW$37</c:f>
              <c:numCache>
                <c:ptCount val="9"/>
                <c:pt idx="0">
                  <c:v>65.07254993056665</c:v>
                </c:pt>
                <c:pt idx="1">
                  <c:v>66.07254993056665</c:v>
                </c:pt>
                <c:pt idx="2">
                  <c:v>67.07254993056665</c:v>
                </c:pt>
                <c:pt idx="3">
                  <c:v>68.07254993056665</c:v>
                </c:pt>
                <c:pt idx="4">
                  <c:v>69.07254993056665</c:v>
                </c:pt>
                <c:pt idx="5">
                  <c:v>70.07254993056665</c:v>
                </c:pt>
                <c:pt idx="6">
                  <c:v>71.07254993056665</c:v>
                </c:pt>
                <c:pt idx="7">
                  <c:v>72.07254993056665</c:v>
                </c:pt>
                <c:pt idx="8">
                  <c:v>73.07254993056665</c:v>
                </c:pt>
              </c:numCache>
            </c:numRef>
          </c:cat>
          <c:val>
            <c:numRef>
              <c:f>'土圧計算'!$BA$29:$BA$37</c:f>
              <c:numCache>
                <c:ptCount val="9"/>
                <c:pt idx="0">
                  <c:v>71.08117346533538</c:v>
                </c:pt>
                <c:pt idx="1">
                  <c:v>71.33176655282972</c:v>
                </c:pt>
                <c:pt idx="2">
                  <c:v>71.54301057135454</c:v>
                </c:pt>
                <c:pt idx="3">
                  <c:v>71.71299187146347</c:v>
                </c:pt>
                <c:pt idx="4">
                  <c:v>71.83933381900756</c:v>
                </c:pt>
                <c:pt idx="5">
                  <c:v>71.91913212958147</c:v>
                </c:pt>
                <c:pt idx="6">
                  <c:v>71.94887858628054</c:v>
                </c:pt>
                <c:pt idx="7">
                  <c:v>71.92437333649889</c:v>
                </c:pt>
                <c:pt idx="8">
                  <c:v>71.84062827112399</c:v>
                </c:pt>
              </c:numCache>
            </c:numRef>
          </c:val>
        </c:ser>
        <c:ser>
          <c:idx val="4"/>
          <c:order val="4"/>
          <c:tx>
            <c:strRef>
              <c:f>'土圧計算'!$BB$28</c:f>
              <c:strCache>
                <c:ptCount val="1"/>
                <c:pt idx="0">
                  <c:v>60.2 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'土圧計算'!$AW$29:$AW$37</c:f>
              <c:numCache>
                <c:ptCount val="9"/>
                <c:pt idx="0">
                  <c:v>65.07254993056665</c:v>
                </c:pt>
                <c:pt idx="1">
                  <c:v>66.07254993056665</c:v>
                </c:pt>
                <c:pt idx="2">
                  <c:v>67.07254993056665</c:v>
                </c:pt>
                <c:pt idx="3">
                  <c:v>68.07254993056665</c:v>
                </c:pt>
                <c:pt idx="4">
                  <c:v>69.07254993056665</c:v>
                </c:pt>
                <c:pt idx="5">
                  <c:v>70.07254993056665</c:v>
                </c:pt>
                <c:pt idx="6">
                  <c:v>71.07254993056665</c:v>
                </c:pt>
                <c:pt idx="7">
                  <c:v>72.07254993056665</c:v>
                </c:pt>
                <c:pt idx="8">
                  <c:v>73.07254993056665</c:v>
                </c:pt>
              </c:numCache>
            </c:numRef>
          </c:cat>
          <c:val>
            <c:numRef>
              <c:f>'土圧計算'!$BB$29:$BB$37</c:f>
              <c:numCache>
                <c:ptCount val="9"/>
                <c:pt idx="0">
                  <c:v>71.09946187095501</c:v>
                </c:pt>
                <c:pt idx="1">
                  <c:v>71.35699126306591</c:v>
                </c:pt>
                <c:pt idx="2">
                  <c:v>71.57433482128519</c:v>
                </c:pt>
                <c:pt idx="3">
                  <c:v>71.74946747361444</c:v>
                </c:pt>
                <c:pt idx="4">
                  <c:v>71.87988781517002</c:v>
                </c:pt>
                <c:pt idx="5">
                  <c:v>71.96255055244069</c:v>
                </c:pt>
                <c:pt idx="6">
                  <c:v>71.99378690016782</c:v>
                </c:pt>
                <c:pt idx="7">
                  <c:v>71.96921310110993</c:v>
                </c:pt>
                <c:pt idx="8">
                  <c:v>71.88362961663846</c:v>
                </c:pt>
              </c:numCache>
            </c:numRef>
          </c:val>
        </c:ser>
        <c:ser>
          <c:idx val="5"/>
          <c:order val="5"/>
          <c:tx>
            <c:strRef>
              <c:f>'土圧計算'!$BC$28</c:f>
              <c:strCache>
                <c:ptCount val="1"/>
                <c:pt idx="0">
                  <c:v>61.2 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'土圧計算'!$AW$29:$AW$37</c:f>
              <c:numCache>
                <c:ptCount val="9"/>
                <c:pt idx="0">
                  <c:v>65.07254993056665</c:v>
                </c:pt>
                <c:pt idx="1">
                  <c:v>66.07254993056665</c:v>
                </c:pt>
                <c:pt idx="2">
                  <c:v>67.07254993056665</c:v>
                </c:pt>
                <c:pt idx="3">
                  <c:v>68.07254993056665</c:v>
                </c:pt>
                <c:pt idx="4">
                  <c:v>69.07254993056665</c:v>
                </c:pt>
                <c:pt idx="5">
                  <c:v>70.07254993056665</c:v>
                </c:pt>
                <c:pt idx="6">
                  <c:v>71.07254993056665</c:v>
                </c:pt>
                <c:pt idx="7">
                  <c:v>72.07254993056665</c:v>
                </c:pt>
                <c:pt idx="8">
                  <c:v>73.07254993056665</c:v>
                </c:pt>
              </c:numCache>
            </c:numRef>
          </c:cat>
          <c:val>
            <c:numRef>
              <c:f>'土圧計算'!$BC$29:$BC$37</c:f>
              <c:numCache>
                <c:ptCount val="9"/>
                <c:pt idx="0">
                  <c:v>71.02076965848192</c:v>
                </c:pt>
                <c:pt idx="1">
                  <c:v>71.28332556753854</c:v>
                </c:pt>
                <c:pt idx="2">
                  <c:v>71.5049280024939</c:v>
                </c:pt>
                <c:pt idx="3">
                  <c:v>71.68343809375057</c:v>
                </c:pt>
                <c:pt idx="4">
                  <c:v>71.816227456291</c:v>
                </c:pt>
                <c:pt idx="5">
                  <c:v>71.90010774282636</c:v>
                </c:pt>
                <c:pt idx="6">
                  <c:v>71.93124771643248</c:v>
                </c:pt>
                <c:pt idx="7">
                  <c:v>71.90507798603136</c:v>
                </c:pt>
                <c:pt idx="8">
                  <c:v>71.81618599451883</c:v>
                </c:pt>
              </c:numCache>
            </c:numRef>
          </c:val>
        </c:ser>
        <c:ser>
          <c:idx val="6"/>
          <c:order val="6"/>
          <c:tx>
            <c:strRef>
              <c:f>'土圧計算'!$BD$28</c:f>
              <c:strCache>
                <c:ptCount val="1"/>
                <c:pt idx="0">
                  <c:v>62.2 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'土圧計算'!$AW$29:$AW$37</c:f>
              <c:numCache>
                <c:ptCount val="9"/>
                <c:pt idx="0">
                  <c:v>65.07254993056665</c:v>
                </c:pt>
                <c:pt idx="1">
                  <c:v>66.07254993056665</c:v>
                </c:pt>
                <c:pt idx="2">
                  <c:v>67.07254993056665</c:v>
                </c:pt>
                <c:pt idx="3">
                  <c:v>68.07254993056665</c:v>
                </c:pt>
                <c:pt idx="4">
                  <c:v>69.07254993056665</c:v>
                </c:pt>
                <c:pt idx="5">
                  <c:v>70.07254993056665</c:v>
                </c:pt>
                <c:pt idx="6">
                  <c:v>71.07254993056665</c:v>
                </c:pt>
                <c:pt idx="7">
                  <c:v>72.07254993056665</c:v>
                </c:pt>
                <c:pt idx="8">
                  <c:v>73.07254993056665</c:v>
                </c:pt>
              </c:numCache>
            </c:numRef>
          </c:cat>
          <c:val>
            <c:numRef>
              <c:f>'土圧計算'!$BD$29:$BD$37</c:f>
              <c:numCache>
                <c:ptCount val="9"/>
                <c:pt idx="0">
                  <c:v>70.85120133164214</c:v>
                </c:pt>
                <c:pt idx="1">
                  <c:v>71.11686929389484</c:v>
                </c:pt>
                <c:pt idx="2">
                  <c:v>71.34087933552647</c:v>
                </c:pt>
                <c:pt idx="3">
                  <c:v>71.52097672923811</c:v>
                </c:pt>
                <c:pt idx="4">
                  <c:v>71.65440417494382</c:v>
                </c:pt>
                <c:pt idx="5">
                  <c:v>71.73782846203486</c:v>
                </c:pt>
                <c:pt idx="6">
                  <c:v>71.76725421510422</c:v>
                </c:pt>
                <c:pt idx="7">
                  <c:v>71.73792483817833</c:v>
                </c:pt>
                <c:pt idx="8">
                  <c:v>71.644213286464</c:v>
                </c:pt>
              </c:numCache>
            </c:numRef>
          </c:val>
        </c:ser>
        <c:ser>
          <c:idx val="7"/>
          <c:order val="7"/>
          <c:tx>
            <c:strRef>
              <c:f>'土圧計算'!$BE$28</c:f>
              <c:strCache>
                <c:ptCount val="1"/>
                <c:pt idx="0">
                  <c:v>63.2 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'土圧計算'!$AW$29:$AW$37</c:f>
              <c:numCache>
                <c:ptCount val="9"/>
                <c:pt idx="0">
                  <c:v>65.07254993056665</c:v>
                </c:pt>
                <c:pt idx="1">
                  <c:v>66.07254993056665</c:v>
                </c:pt>
                <c:pt idx="2">
                  <c:v>67.07254993056665</c:v>
                </c:pt>
                <c:pt idx="3">
                  <c:v>68.07254993056665</c:v>
                </c:pt>
                <c:pt idx="4">
                  <c:v>69.07254993056665</c:v>
                </c:pt>
                <c:pt idx="5">
                  <c:v>70.07254993056665</c:v>
                </c:pt>
                <c:pt idx="6">
                  <c:v>71.07254993056665</c:v>
                </c:pt>
                <c:pt idx="7">
                  <c:v>72.07254993056665</c:v>
                </c:pt>
                <c:pt idx="8">
                  <c:v>73.07254993056665</c:v>
                </c:pt>
              </c:numCache>
            </c:numRef>
          </c:cat>
          <c:val>
            <c:numRef>
              <c:f>'土圧計算'!$BE$29:$BE$37</c:f>
              <c:numCache>
                <c:ptCount val="9"/>
                <c:pt idx="0">
                  <c:v>70.59626241376793</c:v>
                </c:pt>
                <c:pt idx="1">
                  <c:v>70.86312719774318</c:v>
                </c:pt>
                <c:pt idx="2">
                  <c:v>71.08768706121286</c:v>
                </c:pt>
                <c:pt idx="3">
                  <c:v>71.2675696382911</c:v>
                </c:pt>
                <c:pt idx="4">
                  <c:v>71.39988702192863</c:v>
                </c:pt>
                <c:pt idx="5">
                  <c:v>71.48115953615243</c:v>
                </c:pt>
                <c:pt idx="6">
                  <c:v>71.5072261524555</c:v>
                </c:pt>
                <c:pt idx="7">
                  <c:v>71.47314163568426</c:v>
                </c:pt>
                <c:pt idx="8">
                  <c:v>71.37306308506551</c:v>
                </c:pt>
              </c:numCache>
            </c:numRef>
          </c:val>
        </c:ser>
        <c:ser>
          <c:idx val="8"/>
          <c:order val="8"/>
          <c:tx>
            <c:strRef>
              <c:f>'土圧計算'!$BF$28</c:f>
              <c:strCache>
                <c:ptCount val="1"/>
                <c:pt idx="0">
                  <c:v>64.2 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'土圧計算'!$AW$29:$AW$37</c:f>
              <c:numCache>
                <c:ptCount val="9"/>
                <c:pt idx="0">
                  <c:v>65.07254993056665</c:v>
                </c:pt>
                <c:pt idx="1">
                  <c:v>66.07254993056665</c:v>
                </c:pt>
                <c:pt idx="2">
                  <c:v>67.07254993056665</c:v>
                </c:pt>
                <c:pt idx="3">
                  <c:v>68.07254993056665</c:v>
                </c:pt>
                <c:pt idx="4">
                  <c:v>69.07254993056665</c:v>
                </c:pt>
                <c:pt idx="5">
                  <c:v>70.07254993056665</c:v>
                </c:pt>
                <c:pt idx="6">
                  <c:v>71.07254993056665</c:v>
                </c:pt>
                <c:pt idx="7">
                  <c:v>72.07254993056665</c:v>
                </c:pt>
                <c:pt idx="8">
                  <c:v>73.07254993056665</c:v>
                </c:pt>
              </c:numCache>
            </c:numRef>
          </c:cat>
          <c:val>
            <c:numRef>
              <c:f>'土圧計算'!$BF$29:$BF$37</c:f>
              <c:numCache>
                <c:ptCount val="9"/>
                <c:pt idx="0">
                  <c:v>70.26091824464862</c:v>
                </c:pt>
                <c:pt idx="1">
                  <c:v>70.52706662886192</c:v>
                </c:pt>
                <c:pt idx="2">
                  <c:v>70.75031498895986</c:v>
                </c:pt>
                <c:pt idx="3">
                  <c:v>70.9281717849066</c:v>
                </c:pt>
                <c:pt idx="4">
                  <c:v>71.05761702374764</c:v>
                </c:pt>
                <c:pt idx="5">
                  <c:v>71.1350231428817</c:v>
                </c:pt>
                <c:pt idx="6">
                  <c:v>71.15606209454342</c:v>
                </c:pt>
                <c:pt idx="7">
                  <c:v>71.11559868576191</c:v>
                </c:pt>
                <c:pt idx="8">
                  <c:v>71.00757287356143</c:v>
                </c:pt>
              </c:numCache>
            </c:numRef>
          </c:val>
        </c:ser>
        <c:axId val="16576714"/>
        <c:axId val="14972699"/>
        <c:axId val="536564"/>
      </c:surface3DChart>
      <c:catAx>
        <c:axId val="16576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明朝"/>
                    <a:ea typeface="ＭＳ 明朝"/>
                    <a:cs typeface="ＭＳ 明朝"/>
                  </a:rPr>
                  <a:t>ω</a:t>
                </a:r>
                <a:r>
                  <a:rPr lang="en-US" cap="none" sz="975" b="0" i="0" u="none" baseline="-25000"/>
                  <a:t>2</a:t>
                </a:r>
                <a:r>
                  <a:rPr lang="en-US" cap="none" sz="975" b="0" i="0" u="none" baseline="0"/>
                  <a:t>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75" b="0" i="0" u="none" baseline="0"/>
            </a:pPr>
          </a:p>
        </c:txPr>
        <c:crossAx val="14972699"/>
        <c:crosses val="autoZero"/>
        <c:auto val="1"/>
        <c:lblOffset val="100"/>
        <c:noMultiLvlLbl val="0"/>
      </c:catAx>
      <c:valAx>
        <c:axId val="14972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1" u="none" baseline="0"/>
                  <a:t>P</a:t>
                </a:r>
                <a:r>
                  <a:rPr lang="en-US" cap="none" sz="975" b="0" i="1" u="none" baseline="-25000"/>
                  <a:t>H</a:t>
                </a:r>
                <a:r>
                  <a:rPr lang="en-US" cap="none" sz="975" b="0" i="0" u="none" baseline="0"/>
                  <a:t>(kN/m)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6576714"/>
        <c:crossesAt val="1"/>
        <c:crossBetween val="between"/>
        <c:dispUnits/>
      </c:valAx>
      <c:serAx>
        <c:axId val="53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明朝"/>
                    <a:ea typeface="ＭＳ 明朝"/>
                    <a:cs typeface="ＭＳ 明朝"/>
                  </a:rPr>
                  <a:t>ω</a:t>
                </a:r>
                <a:r>
                  <a:rPr lang="en-US" cap="none" sz="975" b="0" i="0" u="none" baseline="-25000"/>
                  <a:t>1</a:t>
                </a:r>
                <a:r>
                  <a:rPr lang="en-US" cap="none" sz="975" b="0" i="0" u="none" baseline="0"/>
                  <a:t>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75" b="0" i="0" u="none" baseline="0"/>
            </a:pPr>
          </a:p>
        </c:txPr>
        <c:crossAx val="1497269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12700">
          <a:solidFill/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725"/>
          <c:w val="0.9745"/>
          <c:h val="0.9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'土圧計算'!$BW$4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'土圧計算'!$BW$5:$BW$58</c:f>
              <c:numCache>
                <c:ptCount val="54"/>
                <c:pt idx="0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5</c:v>
                </c:pt>
                <c:pt idx="4">
                  <c:v>5</c:v>
                </c:pt>
                <c:pt idx="5">
                  <c:v>0.5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'土圧計算'!$BX$4</c:f>
              <c:strCache>
                <c:ptCount val="1"/>
                <c:pt idx="0">
                  <c:v>地形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'土圧計算'!$BX$5:$BX$58</c:f>
              <c:numCache>
                <c:ptCount val="54"/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'土圧計算'!$BY$4</c:f>
              <c:strCache>
                <c:ptCount val="1"/>
                <c:pt idx="0">
                  <c:v>載荷重後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'土圧計算'!$BY$5:$BY$58</c:f>
              <c:numCache>
                <c:ptCount val="54"/>
                <c:pt idx="12">
                  <c:v>5</c:v>
                </c:pt>
                <c:pt idx="13">
                  <c:v>5.5</c:v>
                </c:pt>
                <c:pt idx="14">
                  <c:v>5.5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'土圧計算'!$BZ$4</c:f>
              <c:strCache>
                <c:ptCount val="1"/>
                <c:pt idx="0">
                  <c:v>載荷重前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'土圧計算'!$BZ$5:$BZ$58</c:f>
              <c:numCache>
                <c:ptCount val="54"/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'土圧計算'!$CA$4</c:f>
              <c:strCache>
                <c:ptCount val="1"/>
                <c:pt idx="0">
                  <c:v>仮想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'土圧計算'!$CA$5:$CA$58</c:f>
              <c:numCache>
                <c:ptCount val="54"/>
                <c:pt idx="19">
                  <c:v>0</c:v>
                </c:pt>
                <c:pt idx="20">
                  <c:v>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'土圧計算'!$CB$4</c:f>
              <c:strCache>
                <c:ptCount val="1"/>
                <c:pt idx="0">
                  <c:v>滑り面前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'土圧計算'!$CB$5:$CB$58</c:f>
              <c:numCache>
                <c:ptCount val="54"/>
                <c:pt idx="21">
                  <c:v>0</c:v>
                </c:pt>
                <c:pt idx="22">
                  <c:v>2.6149812270078137</c:v>
                </c:pt>
                <c:pt idx="23">
                  <c:v>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'土圧計算'!$CC$4</c:f>
              <c:strCache>
                <c:ptCount val="1"/>
                <c:pt idx="0">
                  <c:v>滑り面後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'土圧計算'!$CC$5:$CC$58</c:f>
              <c:numCache>
                <c:ptCount val="54"/>
                <c:pt idx="24">
                  <c:v>0</c:v>
                </c:pt>
                <c:pt idx="25">
                  <c:v>5</c:v>
                </c:pt>
                <c:pt idx="26">
                  <c:v>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'土圧計算'!$CD$4</c:f>
              <c:strCache>
                <c:ptCount val="1"/>
                <c:pt idx="0">
                  <c:v>土圧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'土圧計算'!$CD$5:$CD$58</c:f>
              <c:numCache>
                <c:ptCount val="54"/>
                <c:pt idx="27">
                  <c:v>1.6666666666666667</c:v>
                </c:pt>
                <c:pt idx="28">
                  <c:v>1.7569383982717934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'土圧計算'!$CE$4</c:f>
              <c:strCache>
                <c:ptCount val="1"/>
                <c:pt idx="0">
                  <c:v>支柱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'土圧計算'!$CE$5:$CE$58</c:f>
              <c:numCache>
                <c:ptCount val="54"/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'土圧計算'!$CF$4</c:f>
              <c:strCache>
                <c:ptCount val="1"/>
                <c:pt idx="0">
                  <c:v>レール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'土圧計算'!$CF$5:$CF$58</c:f>
              <c:numCache>
                <c:ptCount val="54"/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'土圧計算'!$CG$4</c:f>
              <c:strCache>
                <c:ptCount val="1"/>
                <c:pt idx="0">
                  <c:v>衝突荷重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'土圧計算'!$CG$5:$CG$58</c:f>
              <c:numCache>
                <c:ptCount val="54"/>
                <c:pt idx="40">
                  <c:v>5</c:v>
                </c:pt>
                <c:pt idx="41">
                  <c:v>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'土圧計算'!$CH$4</c:f>
              <c:strCache>
                <c:ptCount val="1"/>
                <c:pt idx="0">
                  <c:v>合力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'土圧計算'!$CH$5:$CH$58</c:f>
              <c:numCache>
                <c:ptCount val="54"/>
                <c:pt idx="42">
                  <c:v>0</c:v>
                </c:pt>
                <c:pt idx="43">
                  <c:v>0.9690717316051266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'土圧計算'!$CI$4</c:f>
              <c:strCache>
                <c:ptCount val="1"/>
                <c:pt idx="0">
                  <c:v>自重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'土圧計算'!$CI$5:$CI$58</c:f>
              <c:numCache>
                <c:ptCount val="54"/>
                <c:pt idx="44">
                  <c:v>2.3143491124260356</c:v>
                </c:pt>
                <c:pt idx="45">
                  <c:v>1.4355491124260356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'土圧計算'!$CJ$4</c:f>
              <c:strCache>
                <c:ptCount val="1"/>
                <c:pt idx="0">
                  <c:v>慣性力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'土圧計算'!$CJ$5:$CJ$58</c:f>
              <c:numCache>
                <c:ptCount val="54"/>
                <c:pt idx="46">
                  <c:v>2.3143491124260356</c:v>
                </c:pt>
                <c:pt idx="47">
                  <c:v>2.3143491124260356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'土圧計算'!$CK$4</c:f>
              <c:strCache>
                <c:ptCount val="1"/>
                <c:pt idx="0">
                  <c:v>地盤反力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'土圧計算'!$CK$5:$CK$58</c:f>
              <c:numCache>
                <c:ptCount val="54"/>
                <c:pt idx="48">
                  <c:v>0</c:v>
                </c:pt>
                <c:pt idx="49">
                  <c:v>-0.5341248214962508</c:v>
                </c:pt>
                <c:pt idx="50">
                  <c:v>-0.24113256378785042</c:v>
                </c:pt>
                <c:pt idx="51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'土圧計算'!$CL$4</c:f>
              <c:strCache>
                <c:ptCount val="1"/>
                <c:pt idx="0">
                  <c:v>前面地盤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'土圧計算'!$BV$5:$BV$58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  <c:pt idx="7">
                  <c:v>2.5</c:v>
                </c:pt>
                <c:pt idx="8">
                  <c:v>0</c:v>
                </c:pt>
                <c:pt idx="9">
                  <c:v>1.5</c:v>
                </c:pt>
                <c:pt idx="10">
                  <c:v>7.359736483809603</c:v>
                </c:pt>
                <c:pt idx="11">
                  <c:v>7.359736483809603</c:v>
                </c:pt>
                <c:pt idx="12">
                  <c:v>2.5</c:v>
                </c:pt>
                <c:pt idx="13">
                  <c:v>2.5</c:v>
                </c:pt>
                <c:pt idx="14">
                  <c:v>7.359736483809603</c:v>
                </c:pt>
                <c:pt idx="15">
                  <c:v>1.5</c:v>
                </c:pt>
                <c:pt idx="16">
                  <c:v>1.5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1.5</c:v>
                </c:pt>
                <c:pt idx="23">
                  <c:v>2.9363151188330088</c:v>
                </c:pt>
                <c:pt idx="24">
                  <c:v>2.5</c:v>
                </c:pt>
                <c:pt idx="25">
                  <c:v>5.359736483809603</c:v>
                </c:pt>
                <c:pt idx="26">
                  <c:v>5.359736483809603</c:v>
                </c:pt>
                <c:pt idx="27">
                  <c:v>2.5</c:v>
                </c:pt>
                <c:pt idx="28">
                  <c:v>2.86176387923772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1.4000000000000001</c:v>
                </c:pt>
                <c:pt idx="36">
                  <c:v>1.3</c:v>
                </c:pt>
                <c:pt idx="37">
                  <c:v>1.4000000000000001</c:v>
                </c:pt>
                <c:pt idx="38">
                  <c:v>1.4000000000000001</c:v>
                </c:pt>
                <c:pt idx="39">
                  <c:v>1.3</c:v>
                </c:pt>
                <c:pt idx="40">
                  <c:v>1.3</c:v>
                </c:pt>
                <c:pt idx="41">
                  <c:v>1.4000000000000001</c:v>
                </c:pt>
                <c:pt idx="42">
                  <c:v>1.0925295783106115</c:v>
                </c:pt>
                <c:pt idx="43">
                  <c:v>1.4542934575483315</c:v>
                </c:pt>
                <c:pt idx="44">
                  <c:v>1.6340464269458352</c:v>
                </c:pt>
                <c:pt idx="45">
                  <c:v>1.6340464269458352</c:v>
                </c:pt>
                <c:pt idx="46">
                  <c:v>1.6340464269458352</c:v>
                </c:pt>
                <c:pt idx="47">
                  <c:v>1.6340464269458352</c:v>
                </c:pt>
                <c:pt idx="48">
                  <c:v>0</c:v>
                </c:pt>
                <c:pt idx="49">
                  <c:v>0</c:v>
                </c:pt>
                <c:pt idx="50">
                  <c:v>2.5</c:v>
                </c:pt>
                <c:pt idx="51">
                  <c:v>2.5</c:v>
                </c:pt>
                <c:pt idx="52">
                  <c:v>-1.25</c:v>
                </c:pt>
                <c:pt idx="53">
                  <c:v>1</c:v>
                </c:pt>
              </c:numCache>
            </c:numRef>
          </c:xVal>
          <c:yVal>
            <c:numRef>
              <c:f>'土圧計算'!$CL$5:$CL$58</c:f>
              <c:numCache>
                <c:ptCount val="54"/>
                <c:pt idx="52">
                  <c:v>1</c:v>
                </c:pt>
                <c:pt idx="53">
                  <c:v>1</c:v>
                </c:pt>
              </c:numCache>
            </c:numRef>
          </c:yVal>
          <c:smooth val="0"/>
        </c:ser>
        <c:axId val="4829077"/>
        <c:axId val="43461694"/>
      </c:scatterChart>
      <c:valAx>
        <c:axId val="4829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3461694"/>
        <c:crosses val="autoZero"/>
        <c:crossBetween val="midCat"/>
        <c:dispUnits/>
      </c:valAx>
      <c:valAx>
        <c:axId val="434616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8290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image" Target="../media/image2.emf" /><Relationship Id="rId11" Type="http://schemas.openxmlformats.org/officeDocument/2006/relationships/image" Target="../media/image4.emf" /><Relationship Id="rId12" Type="http://schemas.openxmlformats.org/officeDocument/2006/relationships/image" Target="../media/image8.emf" /><Relationship Id="rId13" Type="http://schemas.openxmlformats.org/officeDocument/2006/relationships/image" Target="../media/image11.emf" /><Relationship Id="rId14" Type="http://schemas.openxmlformats.org/officeDocument/2006/relationships/image" Target="../media/image6.emf" /><Relationship Id="rId15" Type="http://schemas.openxmlformats.org/officeDocument/2006/relationships/image" Target="../media/image21.emf" /><Relationship Id="rId16" Type="http://schemas.openxmlformats.org/officeDocument/2006/relationships/image" Target="../media/image22.emf" /><Relationship Id="rId17" Type="http://schemas.openxmlformats.org/officeDocument/2006/relationships/image" Target="../media/image23.emf" /><Relationship Id="rId18" Type="http://schemas.openxmlformats.org/officeDocument/2006/relationships/image" Target="../media/image25.emf" /><Relationship Id="rId19" Type="http://schemas.openxmlformats.org/officeDocument/2006/relationships/image" Target="../media/image26.emf" /><Relationship Id="rId20" Type="http://schemas.openxmlformats.org/officeDocument/2006/relationships/image" Target="../media/image2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1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14.emf" /><Relationship Id="rId7" Type="http://schemas.openxmlformats.org/officeDocument/2006/relationships/image" Target="../media/image19.emf" /><Relationship Id="rId8" Type="http://schemas.openxmlformats.org/officeDocument/2006/relationships/image" Target="../media/image12.emf" /><Relationship Id="rId9" Type="http://schemas.openxmlformats.org/officeDocument/2006/relationships/image" Target="../media/image13.emf" /><Relationship Id="rId10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457200</xdr:colOff>
      <xdr:row>5</xdr:row>
      <xdr:rowOff>180975</xdr:rowOff>
    </xdr:from>
    <xdr:to>
      <xdr:col>47</xdr:col>
      <xdr:colOff>752475</xdr:colOff>
      <xdr:row>18</xdr:row>
      <xdr:rowOff>123825</xdr:rowOff>
    </xdr:to>
    <xdr:graphicFrame>
      <xdr:nvGraphicFramePr>
        <xdr:cNvPr id="1" name="Chart 8"/>
        <xdr:cNvGraphicFramePr/>
      </xdr:nvGraphicFramePr>
      <xdr:xfrm>
        <a:off x="34851975" y="1323975"/>
        <a:ext cx="53244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63</xdr:col>
      <xdr:colOff>190500</xdr:colOff>
      <xdr:row>6</xdr:row>
      <xdr:rowOff>66675</xdr:rowOff>
    </xdr:from>
    <xdr:to>
      <xdr:col>72</xdr:col>
      <xdr:colOff>0</xdr:colOff>
      <xdr:row>27</xdr:row>
      <xdr:rowOff>19050</xdr:rowOff>
    </xdr:to>
    <xdr:graphicFrame>
      <xdr:nvGraphicFramePr>
        <xdr:cNvPr id="2" name="Chart 12"/>
        <xdr:cNvGraphicFramePr/>
      </xdr:nvGraphicFramePr>
      <xdr:xfrm>
        <a:off x="53025675" y="1438275"/>
        <a:ext cx="7353300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161925</xdr:colOff>
      <xdr:row>1</xdr:row>
      <xdr:rowOff>219075</xdr:rowOff>
    </xdr:from>
    <xdr:to>
      <xdr:col>26</xdr:col>
      <xdr:colOff>457200</xdr:colOff>
      <xdr:row>16</xdr:row>
      <xdr:rowOff>0</xdr:rowOff>
    </xdr:to>
    <xdr:graphicFrame>
      <xdr:nvGraphicFramePr>
        <xdr:cNvPr id="3" name="Chart 17"/>
        <xdr:cNvGraphicFramePr/>
      </xdr:nvGraphicFramePr>
      <xdr:xfrm>
        <a:off x="20307300" y="447675"/>
        <a:ext cx="197167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752475</xdr:colOff>
      <xdr:row>2</xdr:row>
      <xdr:rowOff>28575</xdr:rowOff>
    </xdr:from>
    <xdr:to>
      <xdr:col>18</xdr:col>
      <xdr:colOff>523875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9886950" y="485775"/>
        <a:ext cx="57721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790575</xdr:colOff>
      <xdr:row>16</xdr:row>
      <xdr:rowOff>209550</xdr:rowOff>
    </xdr:from>
    <xdr:to>
      <xdr:col>19</xdr:col>
      <xdr:colOff>180975</xdr:colOff>
      <xdr:row>30</xdr:row>
      <xdr:rowOff>190500</xdr:rowOff>
    </xdr:to>
    <xdr:graphicFrame>
      <xdr:nvGraphicFramePr>
        <xdr:cNvPr id="2" name="Chart 9"/>
        <xdr:cNvGraphicFramePr/>
      </xdr:nvGraphicFramePr>
      <xdr:xfrm>
        <a:off x="9925050" y="3867150"/>
        <a:ext cx="62484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381000</xdr:colOff>
      <xdr:row>4</xdr:row>
      <xdr:rowOff>219075</xdr:rowOff>
    </xdr:from>
    <xdr:to>
      <xdr:col>19</xdr:col>
      <xdr:colOff>0</xdr:colOff>
      <xdr:row>14</xdr:row>
      <xdr:rowOff>57150</xdr:rowOff>
    </xdr:to>
    <xdr:graphicFrame>
      <xdr:nvGraphicFramePr>
        <xdr:cNvPr id="3" name="Chart 13"/>
        <xdr:cNvGraphicFramePr/>
      </xdr:nvGraphicFramePr>
      <xdr:xfrm>
        <a:off x="14658975" y="1133475"/>
        <a:ext cx="133350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180975</xdr:colOff>
      <xdr:row>1</xdr:row>
      <xdr:rowOff>76200</xdr:rowOff>
    </xdr:from>
    <xdr:to>
      <xdr:col>11</xdr:col>
      <xdr:colOff>647700</xdr:colOff>
      <xdr:row>15</xdr:row>
      <xdr:rowOff>38100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67225" y="304800"/>
          <a:ext cx="531495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210</xdr:row>
      <xdr:rowOff>19050</xdr:rowOff>
    </xdr:from>
    <xdr:to>
      <xdr:col>4</xdr:col>
      <xdr:colOff>695325</xdr:colOff>
      <xdr:row>220</xdr:row>
      <xdr:rowOff>219075</xdr:rowOff>
    </xdr:to>
    <xdr:graphicFrame>
      <xdr:nvGraphicFramePr>
        <xdr:cNvPr id="1" name="Chart 16"/>
        <xdr:cNvGraphicFramePr/>
      </xdr:nvGraphicFramePr>
      <xdr:xfrm>
        <a:off x="295275" y="48025050"/>
        <a:ext cx="38385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847725</xdr:colOff>
      <xdr:row>195</xdr:row>
      <xdr:rowOff>123825</xdr:rowOff>
    </xdr:from>
    <xdr:to>
      <xdr:col>6</xdr:col>
      <xdr:colOff>561975</xdr:colOff>
      <xdr:row>209</xdr:row>
      <xdr:rowOff>171450</xdr:rowOff>
    </xdr:to>
    <xdr:graphicFrame>
      <xdr:nvGraphicFramePr>
        <xdr:cNvPr id="2" name="Chart 17"/>
        <xdr:cNvGraphicFramePr/>
      </xdr:nvGraphicFramePr>
      <xdr:xfrm>
        <a:off x="847725" y="44700825"/>
        <a:ext cx="49339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142875</xdr:colOff>
      <xdr:row>239</xdr:row>
      <xdr:rowOff>114300</xdr:rowOff>
    </xdr:from>
    <xdr:to>
      <xdr:col>4</xdr:col>
      <xdr:colOff>809625</xdr:colOff>
      <xdr:row>241</xdr:row>
      <xdr:rowOff>133350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54749700"/>
          <a:ext cx="1533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241</xdr:row>
      <xdr:rowOff>104775</xdr:rowOff>
    </xdr:from>
    <xdr:to>
      <xdr:col>4</xdr:col>
      <xdr:colOff>733425</xdr:colOff>
      <xdr:row>243</xdr:row>
      <xdr:rowOff>123825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05150" y="55197375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289</xdr:row>
      <xdr:rowOff>142875</xdr:rowOff>
    </xdr:from>
    <xdr:to>
      <xdr:col>5</xdr:col>
      <xdr:colOff>666750</xdr:colOff>
      <xdr:row>291</xdr:row>
      <xdr:rowOff>133350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43300" y="66208275"/>
          <a:ext cx="1438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292</xdr:row>
      <xdr:rowOff>104775</xdr:rowOff>
    </xdr:from>
    <xdr:to>
      <xdr:col>4</xdr:col>
      <xdr:colOff>180975</xdr:colOff>
      <xdr:row>294</xdr:row>
      <xdr:rowOff>123825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47850" y="66855975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800100</xdr:colOff>
      <xdr:row>255</xdr:row>
      <xdr:rowOff>85725</xdr:rowOff>
    </xdr:from>
    <xdr:to>
      <xdr:col>6</xdr:col>
      <xdr:colOff>285750</xdr:colOff>
      <xdr:row>266</xdr:row>
      <xdr:rowOff>114300</xdr:rowOff>
    </xdr:to>
    <xdr:graphicFrame>
      <xdr:nvGraphicFramePr>
        <xdr:cNvPr id="7" name="Chart 65"/>
        <xdr:cNvGraphicFramePr/>
      </xdr:nvGraphicFramePr>
      <xdr:xfrm>
        <a:off x="1657350" y="58378725"/>
        <a:ext cx="3848100" cy="2543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152400</xdr:colOff>
      <xdr:row>210</xdr:row>
      <xdr:rowOff>47625</xdr:rowOff>
    </xdr:from>
    <xdr:to>
      <xdr:col>6</xdr:col>
      <xdr:colOff>762000</xdr:colOff>
      <xdr:row>218</xdr:row>
      <xdr:rowOff>219075</xdr:rowOff>
    </xdr:to>
    <xdr:graphicFrame>
      <xdr:nvGraphicFramePr>
        <xdr:cNvPr id="8" name="Chart 74"/>
        <xdr:cNvGraphicFramePr/>
      </xdr:nvGraphicFramePr>
      <xdr:xfrm>
        <a:off x="4467225" y="48053625"/>
        <a:ext cx="1514475" cy="2000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828675</xdr:colOff>
      <xdr:row>2</xdr:row>
      <xdr:rowOff>123825</xdr:rowOff>
    </xdr:from>
    <xdr:to>
      <xdr:col>8</xdr:col>
      <xdr:colOff>619125</xdr:colOff>
      <xdr:row>12</xdr:row>
      <xdr:rowOff>76200</xdr:rowOff>
    </xdr:to>
    <xdr:graphicFrame>
      <xdr:nvGraphicFramePr>
        <xdr:cNvPr id="9" name="Chart 78"/>
        <xdr:cNvGraphicFramePr/>
      </xdr:nvGraphicFramePr>
      <xdr:xfrm>
        <a:off x="4267200" y="581025"/>
        <a:ext cx="3248025" cy="2238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</xdr:col>
      <xdr:colOff>371475</xdr:colOff>
      <xdr:row>56</xdr:row>
      <xdr:rowOff>190500</xdr:rowOff>
    </xdr:from>
    <xdr:to>
      <xdr:col>6</xdr:col>
      <xdr:colOff>304800</xdr:colOff>
      <xdr:row>71</xdr:row>
      <xdr:rowOff>66675</xdr:rowOff>
    </xdr:to>
    <xdr:pic>
      <xdr:nvPicPr>
        <xdr:cNvPr id="10" name="Picture 8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28725" y="12992100"/>
          <a:ext cx="429577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134</xdr:row>
      <xdr:rowOff>9525</xdr:rowOff>
    </xdr:from>
    <xdr:to>
      <xdr:col>5</xdr:col>
      <xdr:colOff>342900</xdr:colOff>
      <xdr:row>143</xdr:row>
      <xdr:rowOff>123825</xdr:rowOff>
    </xdr:to>
    <xdr:pic>
      <xdr:nvPicPr>
        <xdr:cNvPr id="11" name="Picture 8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47775" y="30641925"/>
          <a:ext cx="34099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144</xdr:row>
      <xdr:rowOff>133350</xdr:rowOff>
    </xdr:from>
    <xdr:to>
      <xdr:col>5</xdr:col>
      <xdr:colOff>657225</xdr:colOff>
      <xdr:row>156</xdr:row>
      <xdr:rowOff>219075</xdr:rowOff>
    </xdr:to>
    <xdr:pic>
      <xdr:nvPicPr>
        <xdr:cNvPr id="12" name="Picture 8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76300" y="33051750"/>
          <a:ext cx="409575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243</xdr:row>
      <xdr:rowOff>133350</xdr:rowOff>
    </xdr:from>
    <xdr:to>
      <xdr:col>5</xdr:col>
      <xdr:colOff>581025</xdr:colOff>
      <xdr:row>255</xdr:row>
      <xdr:rowOff>76200</xdr:rowOff>
    </xdr:to>
    <xdr:pic>
      <xdr:nvPicPr>
        <xdr:cNvPr id="13" name="Picture 9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5275" y="55683150"/>
          <a:ext cx="460057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274</xdr:row>
      <xdr:rowOff>152400</xdr:rowOff>
    </xdr:from>
    <xdr:to>
      <xdr:col>2</xdr:col>
      <xdr:colOff>800100</xdr:colOff>
      <xdr:row>276</xdr:row>
      <xdr:rowOff>133350</xdr:rowOff>
    </xdr:to>
    <xdr:pic>
      <xdr:nvPicPr>
        <xdr:cNvPr id="14" name="Picture 9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04975" y="62788800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94</xdr:row>
      <xdr:rowOff>161925</xdr:rowOff>
    </xdr:from>
    <xdr:to>
      <xdr:col>8</xdr:col>
      <xdr:colOff>419100</xdr:colOff>
      <xdr:row>109</xdr:row>
      <xdr:rowOff>104775</xdr:rowOff>
    </xdr:to>
    <xdr:pic>
      <xdr:nvPicPr>
        <xdr:cNvPr id="15" name="Picture 9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3350" y="21650325"/>
          <a:ext cx="718185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110</xdr:row>
      <xdr:rowOff>209550</xdr:rowOff>
    </xdr:from>
    <xdr:to>
      <xdr:col>5</xdr:col>
      <xdr:colOff>38100</xdr:colOff>
      <xdr:row>116</xdr:row>
      <xdr:rowOff>9525</xdr:rowOff>
    </xdr:to>
    <xdr:pic>
      <xdr:nvPicPr>
        <xdr:cNvPr id="16" name="Picture 9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0100" y="25355550"/>
          <a:ext cx="35528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116</xdr:row>
      <xdr:rowOff>133350</xdr:rowOff>
    </xdr:from>
    <xdr:to>
      <xdr:col>2</xdr:col>
      <xdr:colOff>666750</xdr:colOff>
      <xdr:row>121</xdr:row>
      <xdr:rowOff>219075</xdr:rowOff>
    </xdr:to>
    <xdr:pic>
      <xdr:nvPicPr>
        <xdr:cNvPr id="17" name="Picture 10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76300" y="26650950"/>
          <a:ext cx="1504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122</xdr:row>
      <xdr:rowOff>133350</xdr:rowOff>
    </xdr:from>
    <xdr:to>
      <xdr:col>7</xdr:col>
      <xdr:colOff>238125</xdr:colOff>
      <xdr:row>132</xdr:row>
      <xdr:rowOff>104775</xdr:rowOff>
    </xdr:to>
    <xdr:pic>
      <xdr:nvPicPr>
        <xdr:cNvPr id="18" name="Picture 10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19150" y="28022550"/>
          <a:ext cx="55054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286</xdr:row>
      <xdr:rowOff>133350</xdr:rowOff>
    </xdr:from>
    <xdr:to>
      <xdr:col>5</xdr:col>
      <xdr:colOff>819150</xdr:colOff>
      <xdr:row>288</xdr:row>
      <xdr:rowOff>104775</xdr:rowOff>
    </xdr:to>
    <xdr:pic>
      <xdr:nvPicPr>
        <xdr:cNvPr id="19" name="Picture 10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581400" y="65512950"/>
          <a:ext cx="1552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298</xdr:row>
      <xdr:rowOff>142875</xdr:rowOff>
    </xdr:from>
    <xdr:to>
      <xdr:col>3</xdr:col>
      <xdr:colOff>542925</xdr:colOff>
      <xdr:row>300</xdr:row>
      <xdr:rowOff>104775</xdr:rowOff>
    </xdr:to>
    <xdr:pic>
      <xdr:nvPicPr>
        <xdr:cNvPr id="20" name="Picture 10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190750" y="68265675"/>
          <a:ext cx="923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76200</xdr:colOff>
      <xdr:row>26</xdr:row>
      <xdr:rowOff>171450</xdr:rowOff>
    </xdr:to>
    <xdr:sp>
      <xdr:nvSpPr>
        <xdr:cNvPr id="21" name="Polygon 104"/>
        <xdr:cNvSpPr>
          <a:spLocks/>
        </xdr:cNvSpPr>
      </xdr:nvSpPr>
      <xdr:spPr>
        <a:xfrm>
          <a:off x="2609850" y="3933825"/>
          <a:ext cx="1781175" cy="2181225"/>
        </a:xfrm>
        <a:custGeom>
          <a:pathLst>
            <a:path h="229" w="150">
              <a:moveTo>
                <a:pt x="56" y="1"/>
              </a:moveTo>
              <a:lnTo>
                <a:pt x="67" y="198"/>
              </a:lnTo>
              <a:lnTo>
                <a:pt x="150" y="208"/>
              </a:lnTo>
              <a:lnTo>
                <a:pt x="150" y="229"/>
              </a:lnTo>
              <a:lnTo>
                <a:pt x="0" y="229"/>
              </a:lnTo>
              <a:lnTo>
                <a:pt x="0" y="206"/>
              </a:lnTo>
              <a:lnTo>
                <a:pt x="33" y="197"/>
              </a:lnTo>
              <a:lnTo>
                <a:pt x="42" y="0"/>
              </a:lnTo>
              <a:lnTo>
                <a:pt x="56" y="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685800</xdr:colOff>
      <xdr:row>14</xdr:row>
      <xdr:rowOff>19050</xdr:rowOff>
    </xdr:from>
    <xdr:to>
      <xdr:col>6</xdr:col>
      <xdr:colOff>371475</xdr:colOff>
      <xdr:row>17</xdr:row>
      <xdr:rowOff>57150</xdr:rowOff>
    </xdr:to>
    <xdr:sp>
      <xdr:nvSpPr>
        <xdr:cNvPr id="22" name="Line 105"/>
        <xdr:cNvSpPr>
          <a:spLocks/>
        </xdr:cNvSpPr>
      </xdr:nvSpPr>
      <xdr:spPr>
        <a:xfrm flipV="1">
          <a:off x="3257550" y="3219450"/>
          <a:ext cx="23336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809625</xdr:colOff>
      <xdr:row>17</xdr:row>
      <xdr:rowOff>47625</xdr:rowOff>
    </xdr:from>
    <xdr:to>
      <xdr:col>3</xdr:col>
      <xdr:colOff>523875</xdr:colOff>
      <xdr:row>17</xdr:row>
      <xdr:rowOff>47625</xdr:rowOff>
    </xdr:to>
    <xdr:sp>
      <xdr:nvSpPr>
        <xdr:cNvPr id="23" name="Line 106"/>
        <xdr:cNvSpPr>
          <a:spLocks/>
        </xdr:cNvSpPr>
      </xdr:nvSpPr>
      <xdr:spPr>
        <a:xfrm flipH="1">
          <a:off x="1666875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809625</xdr:colOff>
      <xdr:row>26</xdr:row>
      <xdr:rowOff>161925</xdr:rowOff>
    </xdr:from>
    <xdr:to>
      <xdr:col>3</xdr:col>
      <xdr:colOff>19050</xdr:colOff>
      <xdr:row>26</xdr:row>
      <xdr:rowOff>161925</xdr:rowOff>
    </xdr:to>
    <xdr:sp>
      <xdr:nvSpPr>
        <xdr:cNvPr id="24" name="Line 107"/>
        <xdr:cNvSpPr>
          <a:spLocks/>
        </xdr:cNvSpPr>
      </xdr:nvSpPr>
      <xdr:spPr>
        <a:xfrm flipH="1">
          <a:off x="1666875" y="6105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409575</xdr:colOff>
      <xdr:row>25</xdr:row>
      <xdr:rowOff>9525</xdr:rowOff>
    </xdr:from>
    <xdr:to>
      <xdr:col>3</xdr:col>
      <xdr:colOff>438150</xdr:colOff>
      <xdr:row>25</xdr:row>
      <xdr:rowOff>9525</xdr:rowOff>
    </xdr:to>
    <xdr:sp>
      <xdr:nvSpPr>
        <xdr:cNvPr id="25" name="Line 108"/>
        <xdr:cNvSpPr>
          <a:spLocks/>
        </xdr:cNvSpPr>
      </xdr:nvSpPr>
      <xdr:spPr>
        <a:xfrm flipH="1">
          <a:off x="2124075" y="57245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26</xdr:row>
      <xdr:rowOff>161925</xdr:rowOff>
    </xdr:from>
    <xdr:to>
      <xdr:col>3</xdr:col>
      <xdr:colOff>38100</xdr:colOff>
      <xdr:row>28</xdr:row>
      <xdr:rowOff>57150</xdr:rowOff>
    </xdr:to>
    <xdr:sp>
      <xdr:nvSpPr>
        <xdr:cNvPr id="26" name="Line 109"/>
        <xdr:cNvSpPr>
          <a:spLocks/>
        </xdr:cNvSpPr>
      </xdr:nvSpPr>
      <xdr:spPr>
        <a:xfrm>
          <a:off x="2609850" y="61055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171450</xdr:rowOff>
    </xdr:from>
    <xdr:to>
      <xdr:col>5</xdr:col>
      <xdr:colOff>76200</xdr:colOff>
      <xdr:row>28</xdr:row>
      <xdr:rowOff>47625</xdr:rowOff>
    </xdr:to>
    <xdr:sp>
      <xdr:nvSpPr>
        <xdr:cNvPr id="27" name="Line 110"/>
        <xdr:cNvSpPr>
          <a:spLocks/>
        </xdr:cNvSpPr>
      </xdr:nvSpPr>
      <xdr:spPr>
        <a:xfrm>
          <a:off x="4391025" y="61150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828675</xdr:colOff>
      <xdr:row>25</xdr:row>
      <xdr:rowOff>104775</xdr:rowOff>
    </xdr:from>
    <xdr:to>
      <xdr:col>6</xdr:col>
      <xdr:colOff>104775</xdr:colOff>
      <xdr:row>25</xdr:row>
      <xdr:rowOff>104775</xdr:rowOff>
    </xdr:to>
    <xdr:sp>
      <xdr:nvSpPr>
        <xdr:cNvPr id="28" name="Line 111"/>
        <xdr:cNvSpPr>
          <a:spLocks/>
        </xdr:cNvSpPr>
      </xdr:nvSpPr>
      <xdr:spPr>
        <a:xfrm>
          <a:off x="3400425" y="58197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57150</xdr:colOff>
      <xdr:row>25</xdr:row>
      <xdr:rowOff>200025</xdr:rowOff>
    </xdr:from>
    <xdr:to>
      <xdr:col>5</xdr:col>
      <xdr:colOff>619125</xdr:colOff>
      <xdr:row>25</xdr:row>
      <xdr:rowOff>200025</xdr:rowOff>
    </xdr:to>
    <xdr:sp>
      <xdr:nvSpPr>
        <xdr:cNvPr id="29" name="Line 112"/>
        <xdr:cNvSpPr>
          <a:spLocks/>
        </xdr:cNvSpPr>
      </xdr:nvSpPr>
      <xdr:spPr>
        <a:xfrm>
          <a:off x="4371975" y="5915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85725</xdr:colOff>
      <xdr:row>26</xdr:row>
      <xdr:rowOff>171450</xdr:rowOff>
    </xdr:from>
    <xdr:to>
      <xdr:col>6</xdr:col>
      <xdr:colOff>95250</xdr:colOff>
      <xdr:row>26</xdr:row>
      <xdr:rowOff>171450</xdr:rowOff>
    </xdr:to>
    <xdr:sp>
      <xdr:nvSpPr>
        <xdr:cNvPr id="30" name="Line 113"/>
        <xdr:cNvSpPr>
          <a:spLocks/>
        </xdr:cNvSpPr>
      </xdr:nvSpPr>
      <xdr:spPr>
        <a:xfrm>
          <a:off x="4400550" y="61150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25</xdr:row>
      <xdr:rowOff>104775</xdr:rowOff>
    </xdr:from>
    <xdr:to>
      <xdr:col>6</xdr:col>
      <xdr:colOff>9525</xdr:colOff>
      <xdr:row>26</xdr:row>
      <xdr:rowOff>171450</xdr:rowOff>
    </xdr:to>
    <xdr:sp>
      <xdr:nvSpPr>
        <xdr:cNvPr id="31" name="Line 114"/>
        <xdr:cNvSpPr>
          <a:spLocks/>
        </xdr:cNvSpPr>
      </xdr:nvSpPr>
      <xdr:spPr>
        <a:xfrm>
          <a:off x="5229225" y="58197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561975</xdr:colOff>
      <xdr:row>25</xdr:row>
      <xdr:rowOff>209550</xdr:rowOff>
    </xdr:from>
    <xdr:to>
      <xdr:col>5</xdr:col>
      <xdr:colOff>561975</xdr:colOff>
      <xdr:row>26</xdr:row>
      <xdr:rowOff>180975</xdr:rowOff>
    </xdr:to>
    <xdr:sp>
      <xdr:nvSpPr>
        <xdr:cNvPr id="32" name="Line 115"/>
        <xdr:cNvSpPr>
          <a:spLocks/>
        </xdr:cNvSpPr>
      </xdr:nvSpPr>
      <xdr:spPr>
        <a:xfrm>
          <a:off x="4876800" y="59245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28</xdr:row>
      <xdr:rowOff>0</xdr:rowOff>
    </xdr:from>
    <xdr:to>
      <xdr:col>5</xdr:col>
      <xdr:colOff>76200</xdr:colOff>
      <xdr:row>28</xdr:row>
      <xdr:rowOff>0</xdr:rowOff>
    </xdr:to>
    <xdr:sp>
      <xdr:nvSpPr>
        <xdr:cNvPr id="33" name="Line 116"/>
        <xdr:cNvSpPr>
          <a:spLocks/>
        </xdr:cNvSpPr>
      </xdr:nvSpPr>
      <xdr:spPr>
        <a:xfrm>
          <a:off x="2590800" y="64008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23</xdr:row>
      <xdr:rowOff>104775</xdr:rowOff>
    </xdr:from>
    <xdr:to>
      <xdr:col>3</xdr:col>
      <xdr:colOff>38100</xdr:colOff>
      <xdr:row>25</xdr:row>
      <xdr:rowOff>200025</xdr:rowOff>
    </xdr:to>
    <xdr:sp>
      <xdr:nvSpPr>
        <xdr:cNvPr id="34" name="Line 117"/>
        <xdr:cNvSpPr>
          <a:spLocks/>
        </xdr:cNvSpPr>
      </xdr:nvSpPr>
      <xdr:spPr>
        <a:xfrm flipV="1">
          <a:off x="2609850" y="53625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828675</xdr:colOff>
      <xdr:row>23</xdr:row>
      <xdr:rowOff>133350</xdr:rowOff>
    </xdr:from>
    <xdr:to>
      <xdr:col>3</xdr:col>
      <xdr:colOff>828675</xdr:colOff>
      <xdr:row>25</xdr:row>
      <xdr:rowOff>104775</xdr:rowOff>
    </xdr:to>
    <xdr:sp>
      <xdr:nvSpPr>
        <xdr:cNvPr id="35" name="Line 118"/>
        <xdr:cNvSpPr>
          <a:spLocks/>
        </xdr:cNvSpPr>
      </xdr:nvSpPr>
      <xdr:spPr>
        <a:xfrm flipV="1">
          <a:off x="3400425" y="5391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428625</xdr:colOff>
      <xdr:row>23</xdr:row>
      <xdr:rowOff>123825</xdr:rowOff>
    </xdr:from>
    <xdr:to>
      <xdr:col>3</xdr:col>
      <xdr:colOff>428625</xdr:colOff>
      <xdr:row>25</xdr:row>
      <xdr:rowOff>95250</xdr:rowOff>
    </xdr:to>
    <xdr:sp>
      <xdr:nvSpPr>
        <xdr:cNvPr id="36" name="Line 119"/>
        <xdr:cNvSpPr>
          <a:spLocks/>
        </xdr:cNvSpPr>
      </xdr:nvSpPr>
      <xdr:spPr>
        <a:xfrm flipV="1">
          <a:off x="3000375" y="5381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47625</xdr:rowOff>
    </xdr:from>
    <xdr:to>
      <xdr:col>2</xdr:col>
      <xdr:colOff>19050</xdr:colOff>
      <xdr:row>26</xdr:row>
      <xdr:rowOff>161925</xdr:rowOff>
    </xdr:to>
    <xdr:sp>
      <xdr:nvSpPr>
        <xdr:cNvPr id="37" name="Line 120"/>
        <xdr:cNvSpPr>
          <a:spLocks/>
        </xdr:cNvSpPr>
      </xdr:nvSpPr>
      <xdr:spPr>
        <a:xfrm>
          <a:off x="1733550" y="393382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523875</xdr:colOff>
      <xdr:row>15</xdr:row>
      <xdr:rowOff>57150</xdr:rowOff>
    </xdr:from>
    <xdr:to>
      <xdr:col>3</xdr:col>
      <xdr:colOff>523875</xdr:colOff>
      <xdr:row>17</xdr:row>
      <xdr:rowOff>47625</xdr:rowOff>
    </xdr:to>
    <xdr:sp>
      <xdr:nvSpPr>
        <xdr:cNvPr id="38" name="Line 121"/>
        <xdr:cNvSpPr>
          <a:spLocks/>
        </xdr:cNvSpPr>
      </xdr:nvSpPr>
      <xdr:spPr>
        <a:xfrm flipV="1">
          <a:off x="3095625" y="3486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704850</xdr:colOff>
      <xdr:row>15</xdr:row>
      <xdr:rowOff>104775</xdr:rowOff>
    </xdr:from>
    <xdr:to>
      <xdr:col>3</xdr:col>
      <xdr:colOff>704850</xdr:colOff>
      <xdr:row>17</xdr:row>
      <xdr:rowOff>57150</xdr:rowOff>
    </xdr:to>
    <xdr:sp>
      <xdr:nvSpPr>
        <xdr:cNvPr id="39" name="Line 122"/>
        <xdr:cNvSpPr>
          <a:spLocks/>
        </xdr:cNvSpPr>
      </xdr:nvSpPr>
      <xdr:spPr>
        <a:xfrm flipV="1">
          <a:off x="3276600" y="35337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352425</xdr:colOff>
      <xdr:row>15</xdr:row>
      <xdr:rowOff>123825</xdr:rowOff>
    </xdr:from>
    <xdr:to>
      <xdr:col>3</xdr:col>
      <xdr:colOff>523875</xdr:colOff>
      <xdr:row>15</xdr:row>
      <xdr:rowOff>123825</xdr:rowOff>
    </xdr:to>
    <xdr:sp>
      <xdr:nvSpPr>
        <xdr:cNvPr id="40" name="Line 123"/>
        <xdr:cNvSpPr>
          <a:spLocks/>
        </xdr:cNvSpPr>
      </xdr:nvSpPr>
      <xdr:spPr>
        <a:xfrm>
          <a:off x="2924175" y="35528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704850</xdr:colOff>
      <xdr:row>15</xdr:row>
      <xdr:rowOff>133350</xdr:rowOff>
    </xdr:from>
    <xdr:to>
      <xdr:col>3</xdr:col>
      <xdr:colOff>847725</xdr:colOff>
      <xdr:row>15</xdr:row>
      <xdr:rowOff>133350</xdr:rowOff>
    </xdr:to>
    <xdr:sp>
      <xdr:nvSpPr>
        <xdr:cNvPr id="41" name="Line 124"/>
        <xdr:cNvSpPr>
          <a:spLocks/>
        </xdr:cNvSpPr>
      </xdr:nvSpPr>
      <xdr:spPr>
        <a:xfrm flipH="1">
          <a:off x="3276600" y="35623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533400</xdr:colOff>
      <xdr:row>25</xdr:row>
      <xdr:rowOff>9525</xdr:rowOff>
    </xdr:from>
    <xdr:to>
      <xdr:col>2</xdr:col>
      <xdr:colOff>533400</xdr:colOff>
      <xdr:row>26</xdr:row>
      <xdr:rowOff>161925</xdr:rowOff>
    </xdr:to>
    <xdr:sp>
      <xdr:nvSpPr>
        <xdr:cNvPr id="42" name="Line 125"/>
        <xdr:cNvSpPr>
          <a:spLocks/>
        </xdr:cNvSpPr>
      </xdr:nvSpPr>
      <xdr:spPr>
        <a:xfrm>
          <a:off x="2247900" y="57245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23</xdr:row>
      <xdr:rowOff>152400</xdr:rowOff>
    </xdr:from>
    <xdr:to>
      <xdr:col>3</xdr:col>
      <xdr:colOff>400050</xdr:colOff>
      <xdr:row>23</xdr:row>
      <xdr:rowOff>152400</xdr:rowOff>
    </xdr:to>
    <xdr:sp>
      <xdr:nvSpPr>
        <xdr:cNvPr id="43" name="Line 126"/>
        <xdr:cNvSpPr>
          <a:spLocks/>
        </xdr:cNvSpPr>
      </xdr:nvSpPr>
      <xdr:spPr>
        <a:xfrm>
          <a:off x="2619375" y="54102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428625</xdr:colOff>
      <xdr:row>23</xdr:row>
      <xdr:rowOff>152400</xdr:rowOff>
    </xdr:from>
    <xdr:to>
      <xdr:col>3</xdr:col>
      <xdr:colOff>828675</xdr:colOff>
      <xdr:row>23</xdr:row>
      <xdr:rowOff>152400</xdr:rowOff>
    </xdr:to>
    <xdr:sp>
      <xdr:nvSpPr>
        <xdr:cNvPr id="44" name="Line 127"/>
        <xdr:cNvSpPr>
          <a:spLocks/>
        </xdr:cNvSpPr>
      </xdr:nvSpPr>
      <xdr:spPr>
        <a:xfrm>
          <a:off x="3000375" y="54102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447675</xdr:colOff>
      <xdr:row>20</xdr:row>
      <xdr:rowOff>219075</xdr:rowOff>
    </xdr:from>
    <xdr:to>
      <xdr:col>2</xdr:col>
      <xdr:colOff>542925</xdr:colOff>
      <xdr:row>21</xdr:row>
      <xdr:rowOff>180975</xdr:rowOff>
    </xdr:to>
    <xdr:sp textlink="$R$4">
      <xdr:nvSpPr>
        <xdr:cNvPr id="45" name="TextBox 128"/>
        <xdr:cNvSpPr txBox="1">
          <a:spLocks noChangeArrowheads="1"/>
        </xdr:cNvSpPr>
      </xdr:nvSpPr>
      <xdr:spPr>
        <a:xfrm>
          <a:off x="1304925" y="4791075"/>
          <a:ext cx="952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fld id="{8133edbc-c499-4bec-ad2b-690219db0615}" type="TxLink">
            <a:rPr lang="en-US" cap="none" sz="1100" b="0" i="0" u="none" baseline="0"/>
            <a:t>H=5m</a:t>
          </a:fld>
        </a:p>
      </xdr:txBody>
    </xdr:sp>
    <xdr:clientData/>
  </xdr:twoCellAnchor>
  <xdr:twoCellAnchor>
    <xdr:from>
      <xdr:col>3</xdr:col>
      <xdr:colOff>238125</xdr:colOff>
      <xdr:row>14</xdr:row>
      <xdr:rowOff>104775</xdr:rowOff>
    </xdr:from>
    <xdr:to>
      <xdr:col>4</xdr:col>
      <xdr:colOff>323850</xdr:colOff>
      <xdr:row>15</xdr:row>
      <xdr:rowOff>66675</xdr:rowOff>
    </xdr:to>
    <xdr:sp textlink="$R$9">
      <xdr:nvSpPr>
        <xdr:cNvPr id="46" name="TextBox 129"/>
        <xdr:cNvSpPr txBox="1">
          <a:spLocks noChangeArrowheads="1"/>
        </xdr:cNvSpPr>
      </xdr:nvSpPr>
      <xdr:spPr>
        <a:xfrm>
          <a:off x="2809875" y="3305175"/>
          <a:ext cx="952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6b800e34-4493-4245-a47e-d36413ca556e}" type="TxLink">
            <a:rPr lang="en-US" cap="none" sz="1100" b="0" i="0" u="none" baseline="0"/>
            <a:t>bo=0.5m</a:t>
          </a:fld>
        </a:p>
      </xdr:txBody>
    </xdr:sp>
    <xdr:clientData/>
  </xdr:twoCellAnchor>
  <xdr:twoCellAnchor>
    <xdr:from>
      <xdr:col>3</xdr:col>
      <xdr:colOff>590550</xdr:colOff>
      <xdr:row>27</xdr:row>
      <xdr:rowOff>47625</xdr:rowOff>
    </xdr:from>
    <xdr:to>
      <xdr:col>4</xdr:col>
      <xdr:colOff>676275</xdr:colOff>
      <xdr:row>28</xdr:row>
      <xdr:rowOff>19050</xdr:rowOff>
    </xdr:to>
    <xdr:sp textlink="$R$5">
      <xdr:nvSpPr>
        <xdr:cNvPr id="47" name="TextBox 130"/>
        <xdr:cNvSpPr txBox="1">
          <a:spLocks noChangeArrowheads="1"/>
        </xdr:cNvSpPr>
      </xdr:nvSpPr>
      <xdr:spPr>
        <a:xfrm>
          <a:off x="3162300" y="6219825"/>
          <a:ext cx="952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f8621d1-eca2-4396-a6b5-4c89f6b6f45f}" type="TxLink">
            <a:rPr lang="en-US" cap="none" sz="1100" b="0" i="0" u="none" baseline="0"/>
            <a:t>B=2.5m</a:t>
          </a:fld>
        </a:p>
      </xdr:txBody>
    </xdr:sp>
    <xdr:clientData/>
  </xdr:twoCellAnchor>
  <xdr:twoCellAnchor>
    <xdr:from>
      <xdr:col>2</xdr:col>
      <xdr:colOff>342900</xdr:colOff>
      <xdr:row>22</xdr:row>
      <xdr:rowOff>161925</xdr:rowOff>
    </xdr:from>
    <xdr:to>
      <xdr:col>3</xdr:col>
      <xdr:colOff>438150</xdr:colOff>
      <xdr:row>23</xdr:row>
      <xdr:rowOff>123825</xdr:rowOff>
    </xdr:to>
    <xdr:sp textlink="$R$6">
      <xdr:nvSpPr>
        <xdr:cNvPr id="48" name="TextBox 131"/>
        <xdr:cNvSpPr txBox="1">
          <a:spLocks noChangeArrowheads="1"/>
        </xdr:cNvSpPr>
      </xdr:nvSpPr>
      <xdr:spPr>
        <a:xfrm>
          <a:off x="2057400" y="5191125"/>
          <a:ext cx="952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62deca25-20c4-46ed-862d-288f3eab06c4}" type="TxLink">
            <a:rPr lang="en-US" cap="none" sz="1100" b="0" i="0" u="none" baseline="0"/>
            <a:t>bt=1m</a:t>
          </a:fld>
        </a:p>
      </xdr:txBody>
    </xdr:sp>
    <xdr:clientData/>
  </xdr:twoCellAnchor>
  <xdr:twoCellAnchor>
    <xdr:from>
      <xdr:col>3</xdr:col>
      <xdr:colOff>800100</xdr:colOff>
      <xdr:row>22</xdr:row>
      <xdr:rowOff>219075</xdr:rowOff>
    </xdr:from>
    <xdr:to>
      <xdr:col>5</xdr:col>
      <xdr:colOff>0</xdr:colOff>
      <xdr:row>23</xdr:row>
      <xdr:rowOff>180975</xdr:rowOff>
    </xdr:to>
    <xdr:sp textlink="$R$10">
      <xdr:nvSpPr>
        <xdr:cNvPr id="49" name="TextBox 132"/>
        <xdr:cNvSpPr txBox="1">
          <a:spLocks noChangeArrowheads="1"/>
        </xdr:cNvSpPr>
      </xdr:nvSpPr>
      <xdr:spPr>
        <a:xfrm>
          <a:off x="3371850" y="5248275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10fdd1e-8dd4-4680-8cec-4213171cbaa1}" type="TxLink">
            <a:rPr lang="en-US" cap="none" sz="1100" b="0" i="0" u="none" baseline="0"/>
            <a:t>bu=0.5m</a:t>
          </a:fld>
        </a:p>
      </xdr:txBody>
    </xdr:sp>
    <xdr:clientData/>
  </xdr:twoCellAnchor>
  <xdr:twoCellAnchor>
    <xdr:from>
      <xdr:col>1</xdr:col>
      <xdr:colOff>790575</xdr:colOff>
      <xdr:row>26</xdr:row>
      <xdr:rowOff>180975</xdr:rowOff>
    </xdr:from>
    <xdr:to>
      <xdr:col>3</xdr:col>
      <xdr:colOff>19050</xdr:colOff>
      <xdr:row>27</xdr:row>
      <xdr:rowOff>142875</xdr:rowOff>
    </xdr:to>
    <xdr:sp textlink="$R$50">
      <xdr:nvSpPr>
        <xdr:cNvPr id="50" name="TextBox 133"/>
        <xdr:cNvSpPr txBox="1">
          <a:spLocks noChangeArrowheads="1"/>
        </xdr:cNvSpPr>
      </xdr:nvSpPr>
      <xdr:spPr>
        <a:xfrm>
          <a:off x="1647825" y="6124575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8d15724-a455-4164-8649-ca5f2b0eebe3}" type="TxLink">
            <a:rPr lang="en-US" cap="none" sz="1100" b="0" i="0" u="none" baseline="0"/>
            <a:t>Df=1m</a:t>
          </a:fld>
        </a:p>
      </xdr:txBody>
    </xdr:sp>
    <xdr:clientData/>
  </xdr:twoCellAnchor>
  <xdr:twoCellAnchor>
    <xdr:from>
      <xdr:col>6</xdr:col>
      <xdr:colOff>0</xdr:colOff>
      <xdr:row>25</xdr:row>
      <xdr:rowOff>171450</xdr:rowOff>
    </xdr:from>
    <xdr:to>
      <xdr:col>7</xdr:col>
      <xdr:colOff>85725</xdr:colOff>
      <xdr:row>26</xdr:row>
      <xdr:rowOff>133350</xdr:rowOff>
    </xdr:to>
    <xdr:sp textlink="$R$8">
      <xdr:nvSpPr>
        <xdr:cNvPr id="51" name="TextBox 134"/>
        <xdr:cNvSpPr txBox="1">
          <a:spLocks noChangeArrowheads="1"/>
        </xdr:cNvSpPr>
      </xdr:nvSpPr>
      <xdr:spPr>
        <a:xfrm>
          <a:off x="5219700" y="5886450"/>
          <a:ext cx="952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d5a4781-16b4-477d-b09e-6f0732049cdf}" type="TxLink">
            <a:rPr lang="en-US" cap="none" sz="1100" b="0" i="0" u="none" baseline="0"/>
            <a:t>tb=0.5m</a:t>
          </a:fld>
        </a:p>
      </xdr:txBody>
    </xdr:sp>
    <xdr:clientData/>
  </xdr:twoCellAnchor>
  <xdr:twoCellAnchor>
    <xdr:from>
      <xdr:col>5</xdr:col>
      <xdr:colOff>171450</xdr:colOff>
      <xdr:row>26</xdr:row>
      <xdr:rowOff>190500</xdr:rowOff>
    </xdr:from>
    <xdr:to>
      <xdr:col>6</xdr:col>
      <xdr:colOff>209550</xdr:colOff>
      <xdr:row>27</xdr:row>
      <xdr:rowOff>152400</xdr:rowOff>
    </xdr:to>
    <xdr:sp textlink="$R$7">
      <xdr:nvSpPr>
        <xdr:cNvPr id="52" name="TextBox 135"/>
        <xdr:cNvSpPr txBox="1">
          <a:spLocks noChangeArrowheads="1"/>
        </xdr:cNvSpPr>
      </xdr:nvSpPr>
      <xdr:spPr>
        <a:xfrm>
          <a:off x="4486275" y="6134100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ed4e0b7-3b7d-4d2a-8aa6-839883543b0c}" type="TxLink">
            <a:rPr lang="en-US" cap="none" sz="1100" b="0" i="0" u="none" baseline="0"/>
            <a:t>ta=0.5m</a:t>
          </a:fld>
        </a:p>
      </xdr:txBody>
    </xdr:sp>
    <xdr:clientData/>
  </xdr:twoCellAnchor>
  <xdr:twoCellAnchor>
    <xdr:from>
      <xdr:col>2</xdr:col>
      <xdr:colOff>371475</xdr:colOff>
      <xdr:row>19</xdr:row>
      <xdr:rowOff>66675</xdr:rowOff>
    </xdr:from>
    <xdr:to>
      <xdr:col>3</xdr:col>
      <xdr:colOff>466725</xdr:colOff>
      <xdr:row>20</xdr:row>
      <xdr:rowOff>28575</xdr:rowOff>
    </xdr:to>
    <xdr:sp textlink="$R$11">
      <xdr:nvSpPr>
        <xdr:cNvPr id="53" name="TextBox 136"/>
        <xdr:cNvSpPr txBox="1">
          <a:spLocks noChangeArrowheads="1"/>
        </xdr:cNvSpPr>
      </xdr:nvSpPr>
      <xdr:spPr>
        <a:xfrm>
          <a:off x="2085975" y="4410075"/>
          <a:ext cx="952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c855a436-07dd-4481-9f54-1663028728e1}" type="TxLink">
            <a:rPr lang="en-US" cap="none" sz="1100" b="0" i="0" u="none" baseline="0"/>
            <a:t>1: 0</a:t>
          </a:fld>
        </a:p>
      </xdr:txBody>
    </xdr:sp>
    <xdr:clientData/>
  </xdr:twoCellAnchor>
  <xdr:twoCellAnchor>
    <xdr:from>
      <xdr:col>4</xdr:col>
      <xdr:colOff>552450</xdr:colOff>
      <xdr:row>14</xdr:row>
      <xdr:rowOff>133350</xdr:rowOff>
    </xdr:from>
    <xdr:to>
      <xdr:col>5</xdr:col>
      <xdr:colOff>628650</xdr:colOff>
      <xdr:row>15</xdr:row>
      <xdr:rowOff>95250</xdr:rowOff>
    </xdr:to>
    <xdr:sp textlink="$R$31">
      <xdr:nvSpPr>
        <xdr:cNvPr id="54" name="TextBox 137"/>
        <xdr:cNvSpPr txBox="1">
          <a:spLocks noChangeArrowheads="1"/>
        </xdr:cNvSpPr>
      </xdr:nvSpPr>
      <xdr:spPr>
        <a:xfrm>
          <a:off x="3990975" y="3333750"/>
          <a:ext cx="952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41780e4-0aa3-44e7-8a7d-031926d78e51}" type="TxLink">
            <a:rPr lang="en-US" cap="none" sz="1100" b="0" i="0" u="none" baseline="0"/>
            <a:t>1: 0</a:t>
          </a:fld>
        </a:p>
      </xdr:txBody>
    </xdr:sp>
    <xdr:clientData/>
  </xdr:twoCellAnchor>
  <xdr:twoCellAnchor>
    <xdr:from>
      <xdr:col>3</xdr:col>
      <xdr:colOff>657225</xdr:colOff>
      <xdr:row>17</xdr:row>
      <xdr:rowOff>95250</xdr:rowOff>
    </xdr:from>
    <xdr:to>
      <xdr:col>4</xdr:col>
      <xdr:colOff>409575</xdr:colOff>
      <xdr:row>26</xdr:row>
      <xdr:rowOff>133350</xdr:rowOff>
    </xdr:to>
    <xdr:sp>
      <xdr:nvSpPr>
        <xdr:cNvPr id="55" name="Polygon 139"/>
        <xdr:cNvSpPr>
          <a:spLocks/>
        </xdr:cNvSpPr>
      </xdr:nvSpPr>
      <xdr:spPr>
        <a:xfrm>
          <a:off x="3228975" y="3981450"/>
          <a:ext cx="619125" cy="2095500"/>
        </a:xfrm>
        <a:custGeom>
          <a:pathLst>
            <a:path h="220" w="53">
              <a:moveTo>
                <a:pt x="0" y="0"/>
              </a:moveTo>
              <a:lnTo>
                <a:pt x="12" y="220"/>
              </a:lnTo>
              <a:lnTo>
                <a:pt x="53" y="220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25</xdr:row>
      <xdr:rowOff>219075</xdr:rowOff>
    </xdr:from>
    <xdr:to>
      <xdr:col>4</xdr:col>
      <xdr:colOff>714375</xdr:colOff>
      <xdr:row>26</xdr:row>
      <xdr:rowOff>133350</xdr:rowOff>
    </xdr:to>
    <xdr:sp>
      <xdr:nvSpPr>
        <xdr:cNvPr id="56" name="Polygon 140"/>
        <xdr:cNvSpPr>
          <a:spLocks/>
        </xdr:cNvSpPr>
      </xdr:nvSpPr>
      <xdr:spPr>
        <a:xfrm>
          <a:off x="2657475" y="5934075"/>
          <a:ext cx="1495425" cy="142875"/>
        </a:xfrm>
        <a:custGeom>
          <a:pathLst>
            <a:path h="15" w="126">
              <a:moveTo>
                <a:pt x="0" y="0"/>
              </a:moveTo>
              <a:lnTo>
                <a:pt x="0" y="15"/>
              </a:lnTo>
              <a:lnTo>
                <a:pt x="126" y="15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447675</xdr:colOff>
      <xdr:row>25</xdr:row>
      <xdr:rowOff>123825</xdr:rowOff>
    </xdr:from>
    <xdr:to>
      <xdr:col>5</xdr:col>
      <xdr:colOff>28575</xdr:colOff>
      <xdr:row>26</xdr:row>
      <xdr:rowOff>19050</xdr:rowOff>
    </xdr:to>
    <xdr:sp>
      <xdr:nvSpPr>
        <xdr:cNvPr id="57" name="Polygon 142"/>
        <xdr:cNvSpPr>
          <a:spLocks/>
        </xdr:cNvSpPr>
      </xdr:nvSpPr>
      <xdr:spPr>
        <a:xfrm>
          <a:off x="3019425" y="5838825"/>
          <a:ext cx="1323975" cy="123825"/>
        </a:xfrm>
        <a:custGeom>
          <a:pathLst>
            <a:path h="13" w="111">
              <a:moveTo>
                <a:pt x="111" y="13"/>
              </a:moveTo>
              <a:lnTo>
                <a:pt x="23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M1175"/>
  <sheetViews>
    <sheetView workbookViewId="0" topLeftCell="S73">
      <selection activeCell="N6" sqref="N6"/>
    </sheetView>
  </sheetViews>
  <sheetFormatPr defaultColWidth="8.796875" defaultRowHeight="18" customHeight="1"/>
  <cols>
    <col min="4" max="4" width="9.09765625" style="0" bestFit="1" customWidth="1"/>
  </cols>
  <sheetData>
    <row r="2" spans="4:20" ht="18" customHeight="1">
      <c r="D2">
        <f>α</f>
        <v>0</v>
      </c>
      <c r="K2" s="101" t="s">
        <v>63</v>
      </c>
      <c r="T2" s="75"/>
    </row>
    <row r="3" spans="2:12" ht="18" customHeight="1">
      <c r="B3" t="s">
        <v>365</v>
      </c>
      <c r="K3" s="102" t="s">
        <v>64</v>
      </c>
      <c r="L3" s="100" t="str">
        <f>IF(Metho=1,"試行楔法","改良試行楔法")</f>
        <v>改良試行楔法</v>
      </c>
    </row>
    <row r="4" spans="2:91" ht="18" customHeight="1">
      <c r="B4" s="71" t="s">
        <v>36</v>
      </c>
      <c r="C4" s="92">
        <f>β*180/PI()</f>
        <v>0</v>
      </c>
      <c r="D4" s="92" t="s">
        <v>354</v>
      </c>
      <c r="E4" s="92">
        <f>IF(m=0,0,ATAN(1/m))</f>
        <v>0</v>
      </c>
      <c r="F4" s="92" t="s">
        <v>355</v>
      </c>
      <c r="G4" s="72"/>
      <c r="H4" s="72"/>
      <c r="I4" s="73"/>
      <c r="R4" t="s">
        <v>379</v>
      </c>
      <c r="S4" t="s">
        <v>380</v>
      </c>
      <c r="U4" t="s">
        <v>366</v>
      </c>
      <c r="BS4" t="str">
        <f>'設計計算'!C4</f>
        <v>H=</v>
      </c>
      <c r="BT4">
        <f>'設計計算'!D4</f>
        <v>5</v>
      </c>
      <c r="BV4" t="s">
        <v>54</v>
      </c>
      <c r="BW4" t="s">
        <v>57</v>
      </c>
      <c r="BX4" t="s">
        <v>55</v>
      </c>
      <c r="BY4" t="s">
        <v>77</v>
      </c>
      <c r="BZ4" t="s">
        <v>78</v>
      </c>
      <c r="CA4" t="s">
        <v>56</v>
      </c>
      <c r="CB4" t="s">
        <v>81</v>
      </c>
      <c r="CC4" t="s">
        <v>82</v>
      </c>
      <c r="CD4" t="s">
        <v>79</v>
      </c>
      <c r="CE4" t="s">
        <v>0</v>
      </c>
      <c r="CF4" t="s">
        <v>1</v>
      </c>
      <c r="CG4" t="s">
        <v>2</v>
      </c>
      <c r="CH4" t="s">
        <v>4</v>
      </c>
      <c r="CI4" t="s">
        <v>177</v>
      </c>
      <c r="CJ4" t="s">
        <v>3</v>
      </c>
      <c r="CK4" t="s">
        <v>5</v>
      </c>
      <c r="CL4" t="s">
        <v>6</v>
      </c>
      <c r="CM4" t="s">
        <v>451</v>
      </c>
    </row>
    <row r="5" spans="2:75" ht="18" customHeight="1">
      <c r="B5" s="74" t="s">
        <v>38</v>
      </c>
      <c r="C5" s="93">
        <f>'設計計算'!E34</f>
        <v>35</v>
      </c>
      <c r="D5" s="93" t="s">
        <v>354</v>
      </c>
      <c r="E5" s="93">
        <f>C5*PI()/180</f>
        <v>0.6108652381980153</v>
      </c>
      <c r="F5" s="93" t="s">
        <v>355</v>
      </c>
      <c r="G5" s="75"/>
      <c r="H5" s="75"/>
      <c r="I5" s="76"/>
      <c r="K5" s="90" t="s">
        <v>65</v>
      </c>
      <c r="L5" s="72">
        <f>'入力'!Y5</f>
        <v>60.23271881956531</v>
      </c>
      <c r="M5" s="72" t="s">
        <v>39</v>
      </c>
      <c r="N5" s="72">
        <f>L5*PI()/180</f>
        <v>1.051259260829367</v>
      </c>
      <c r="O5" s="72" t="s">
        <v>45</v>
      </c>
      <c r="P5" s="73"/>
      <c r="Q5" s="103" t="s">
        <v>367</v>
      </c>
      <c r="R5">
        <f>O12*COS(N5-φ)</f>
        <v>153.52984270755087</v>
      </c>
      <c r="S5">
        <f>-O12*SIN(N5-φ)</f>
        <v>-72.352775847544</v>
      </c>
      <c r="U5" t="s">
        <v>54</v>
      </c>
      <c r="V5" t="s">
        <v>376</v>
      </c>
      <c r="W5" t="s">
        <v>377</v>
      </c>
      <c r="BS5" t="str">
        <f>'設計計算'!C5</f>
        <v>B=</v>
      </c>
      <c r="BT5">
        <f>'設計計算'!D5</f>
        <v>2.5</v>
      </c>
      <c r="BU5">
        <v>1</v>
      </c>
      <c r="BV5">
        <v>0</v>
      </c>
      <c r="BW5">
        <v>0</v>
      </c>
    </row>
    <row r="6" spans="2:75" ht="18" customHeight="1">
      <c r="B6" s="74" t="s">
        <v>43</v>
      </c>
      <c r="C6" s="93">
        <f>cu</f>
        <v>0</v>
      </c>
      <c r="D6" s="93" t="s">
        <v>356</v>
      </c>
      <c r="E6" s="94" t="s">
        <v>357</v>
      </c>
      <c r="F6" s="93">
        <f>kH</f>
        <v>0</v>
      </c>
      <c r="G6" s="75"/>
      <c r="H6" s="75"/>
      <c r="I6" s="95"/>
      <c r="K6" s="91" t="s">
        <v>66</v>
      </c>
      <c r="L6" s="72">
        <f>'入力'!Y6</f>
        <v>69.07254993056665</v>
      </c>
      <c r="M6" s="75" t="s">
        <v>39</v>
      </c>
      <c r="N6" s="75">
        <f>L6*PI()/180</f>
        <v>1.2055434190365688</v>
      </c>
      <c r="O6" s="75" t="s">
        <v>45</v>
      </c>
      <c r="P6" s="76"/>
      <c r="Q6" s="103" t="s">
        <v>368</v>
      </c>
      <c r="R6">
        <f>O13*COS(N6-φ)</f>
        <v>85.69656066315142</v>
      </c>
      <c r="S6">
        <f>O13*SIN(N6-φ)</f>
        <v>57.96107588073814</v>
      </c>
      <c r="U6">
        <v>0</v>
      </c>
      <c r="V6">
        <v>0</v>
      </c>
      <c r="BS6" t="str">
        <f>'設計計算'!C6</f>
        <v>bt=</v>
      </c>
      <c r="BT6">
        <f>'設計計算'!D6</f>
        <v>1</v>
      </c>
      <c r="BU6">
        <f>BU5+1</f>
        <v>2</v>
      </c>
      <c r="BV6">
        <f>0</f>
        <v>0</v>
      </c>
      <c r="BW6">
        <f>ta</f>
        <v>0.5</v>
      </c>
    </row>
    <row r="7" spans="2:75" ht="18" customHeight="1">
      <c r="B7" s="74" t="s">
        <v>80</v>
      </c>
      <c r="C7" s="93">
        <f>q</f>
        <v>10</v>
      </c>
      <c r="D7" s="93" t="s">
        <v>356</v>
      </c>
      <c r="E7" s="94" t="s">
        <v>358</v>
      </c>
      <c r="F7" s="93">
        <f>IF(data!B20=1,q,0)</f>
        <v>0</v>
      </c>
      <c r="G7" s="75" t="s">
        <v>44</v>
      </c>
      <c r="H7" s="75"/>
      <c r="I7" s="95"/>
      <c r="K7" s="91" t="s">
        <v>67</v>
      </c>
      <c r="L7" s="75">
        <f>'入力'!Y22</f>
        <v>74.57133225257857</v>
      </c>
      <c r="M7" s="75" t="s">
        <v>76</v>
      </c>
      <c r="N7" s="75"/>
      <c r="O7" s="75"/>
      <c r="P7" s="76"/>
      <c r="Q7" s="103" t="s">
        <v>401</v>
      </c>
      <c r="R7">
        <f>O11*SIN(δc+α)</f>
        <v>6.207973387795801</v>
      </c>
      <c r="S7">
        <f>O11*COS(δc+α)</f>
        <v>14.391699966805861</v>
      </c>
      <c r="T7" s="103" t="s">
        <v>367</v>
      </c>
      <c r="U7">
        <f>S5</f>
        <v>-72.352775847544</v>
      </c>
      <c r="V7">
        <f>R5</f>
        <v>153.52984270755087</v>
      </c>
      <c r="BS7" t="str">
        <f>'設計計算'!C7</f>
        <v>ta=</v>
      </c>
      <c r="BT7">
        <f>'設計計算'!D7</f>
        <v>0.5</v>
      </c>
      <c r="BU7">
        <f aca="true" t="shared" si="0" ref="BU7:BU25">BU6+1</f>
        <v>3</v>
      </c>
      <c r="BV7">
        <f>bt</f>
        <v>1</v>
      </c>
      <c r="BW7">
        <f>tb</f>
        <v>0.5</v>
      </c>
    </row>
    <row r="8" spans="2:75" ht="18" customHeight="1">
      <c r="B8" s="74" t="s">
        <v>431</v>
      </c>
      <c r="C8" s="93">
        <f>IF(data!B20=1,qf,IF(Lac=0,0,(qf*Lh+qr*(C9-Lh))/C9))</f>
        <v>3.0377395121170228</v>
      </c>
      <c r="D8" s="93" t="s">
        <v>356</v>
      </c>
      <c r="E8" s="94"/>
      <c r="F8" s="93"/>
      <c r="G8" s="75"/>
      <c r="H8" s="75"/>
      <c r="I8" s="95"/>
      <c r="K8" s="91" t="s">
        <v>68</v>
      </c>
      <c r="L8" s="75">
        <f>'入力'!J28</f>
        <v>72.352775847544</v>
      </c>
      <c r="M8" s="75" t="s">
        <v>76</v>
      </c>
      <c r="N8" s="75"/>
      <c r="O8" s="75"/>
      <c r="P8" s="76"/>
      <c r="Q8" s="103" t="s">
        <v>369</v>
      </c>
      <c r="R8">
        <f>-L11</f>
        <v>-73.85018772992186</v>
      </c>
      <c r="S8">
        <f>R8*kH</f>
        <v>0</v>
      </c>
      <c r="T8" s="103" t="s">
        <v>171</v>
      </c>
      <c r="U8">
        <f>U7+L8</f>
        <v>0</v>
      </c>
      <c r="V8">
        <f>V7+L8*TAN(L9)</f>
        <v>171.5841890285762</v>
      </c>
      <c r="BS8" t="str">
        <f>'設計計算'!C8</f>
        <v>tb=</v>
      </c>
      <c r="BT8">
        <f>'設計計算'!D8</f>
        <v>0.5</v>
      </c>
      <c r="BU8">
        <f t="shared" si="0"/>
        <v>4</v>
      </c>
      <c r="BV8">
        <f>BV7+Hw*BT11</f>
        <v>1</v>
      </c>
      <c r="BW8">
        <f>H</f>
        <v>5</v>
      </c>
    </row>
    <row r="9" spans="2:75" ht="18" customHeight="1">
      <c r="B9" s="74" t="s">
        <v>432</v>
      </c>
      <c r="C9" s="93">
        <f>COS(ωac-α)*COS(β)/(SIN(ωac-β)*COS(α))*hc</f>
        <v>1.4363151188330088</v>
      </c>
      <c r="D9" s="93"/>
      <c r="E9" s="94"/>
      <c r="F9" s="93"/>
      <c r="G9" s="75"/>
      <c r="H9" s="75"/>
      <c r="I9" s="95"/>
      <c r="K9" s="91" t="s">
        <v>69</v>
      </c>
      <c r="L9" s="75">
        <f>'入力'!Y19</f>
        <v>0.24453831916360255</v>
      </c>
      <c r="M9" s="75" t="s">
        <v>45</v>
      </c>
      <c r="N9" s="75">
        <f>L9*180/PI()</f>
        <v>14.011013617297525</v>
      </c>
      <c r="O9" s="75" t="s">
        <v>39</v>
      </c>
      <c r="P9" s="76"/>
      <c r="Q9" s="103" t="s">
        <v>370</v>
      </c>
      <c r="R9">
        <f>-L10</f>
        <v>-171.5841890285762</v>
      </c>
      <c r="S9">
        <f>R9*kH</f>
        <v>0</v>
      </c>
      <c r="T9" s="103" t="s">
        <v>371</v>
      </c>
      <c r="U9">
        <f>U8</f>
        <v>0</v>
      </c>
      <c r="V9">
        <f>V8+R9</f>
        <v>0</v>
      </c>
      <c r="BS9" t="str">
        <f>'設計計算'!C9</f>
        <v>bo=</v>
      </c>
      <c r="BT9">
        <f>'設計計算'!D9</f>
        <v>0.5</v>
      </c>
      <c r="BU9">
        <f t="shared" si="0"/>
        <v>5</v>
      </c>
      <c r="BV9">
        <f>BV8+BT9</f>
        <v>1.5</v>
      </c>
      <c r="BW9">
        <f>BW8</f>
        <v>5</v>
      </c>
    </row>
    <row r="10" spans="2:75" ht="18" customHeight="1">
      <c r="B10" s="74" t="s">
        <v>40</v>
      </c>
      <c r="C10" s="93">
        <f>'入力'!D12</f>
        <v>20</v>
      </c>
      <c r="D10" s="93" t="s">
        <v>359</v>
      </c>
      <c r="E10" s="94" t="s">
        <v>360</v>
      </c>
      <c r="F10" s="93">
        <f>ATAN(kH)</f>
        <v>0</v>
      </c>
      <c r="G10" s="75" t="s">
        <v>45</v>
      </c>
      <c r="H10" s="75">
        <f>θ*180/PI()</f>
        <v>0</v>
      </c>
      <c r="I10" s="96" t="s">
        <v>37</v>
      </c>
      <c r="K10" s="91" t="s">
        <v>70</v>
      </c>
      <c r="L10" s="75">
        <f>'入力'!Y13</f>
        <v>171.5841890285762</v>
      </c>
      <c r="M10" s="75" t="s">
        <v>76</v>
      </c>
      <c r="N10" s="75"/>
      <c r="O10" s="75"/>
      <c r="P10" s="76"/>
      <c r="Q10" s="103" t="s">
        <v>378</v>
      </c>
      <c r="R10">
        <f>SUM(R5:R9)</f>
        <v>0</v>
      </c>
      <c r="S10">
        <f>SUM(S5:S9)</f>
        <v>8.881784197001252E-15</v>
      </c>
      <c r="T10" s="103" t="s">
        <v>372</v>
      </c>
      <c r="U10">
        <f>U9+R9*kH</f>
        <v>0</v>
      </c>
      <c r="V10">
        <f>V9</f>
        <v>0</v>
      </c>
      <c r="BS10" t="str">
        <f>'設計計算'!C10</f>
        <v>bu=</v>
      </c>
      <c r="BT10">
        <f>'設計計算'!D10</f>
        <v>0.5</v>
      </c>
      <c r="BU10">
        <f t="shared" si="0"/>
        <v>6</v>
      </c>
      <c r="BV10">
        <f>bt+bu</f>
        <v>1.5</v>
      </c>
      <c r="BW10">
        <f>tb</f>
        <v>0.5</v>
      </c>
    </row>
    <row r="11" spans="2:75" ht="18" customHeight="1">
      <c r="B11" s="74" t="s">
        <v>34</v>
      </c>
      <c r="C11" s="93">
        <f>H</f>
        <v>5</v>
      </c>
      <c r="D11" s="93" t="s">
        <v>361</v>
      </c>
      <c r="E11" s="94" t="s">
        <v>362</v>
      </c>
      <c r="F11" s="93">
        <f>2*cu/C10*TAN(PI()/4+φ/2)</f>
        <v>0</v>
      </c>
      <c r="G11" s="75"/>
      <c r="H11" s="75"/>
      <c r="I11" s="95"/>
      <c r="K11" s="91" t="s">
        <v>71</v>
      </c>
      <c r="L11" s="75">
        <f>'入力'!Y14</f>
        <v>73.85018772992186</v>
      </c>
      <c r="M11" s="75" t="s">
        <v>76</v>
      </c>
      <c r="N11" s="75" t="s">
        <v>402</v>
      </c>
      <c r="O11" s="75">
        <f>'入力'!Y16</f>
        <v>15.673543361924919</v>
      </c>
      <c r="P11" s="76"/>
      <c r="T11" s="103" t="s">
        <v>403</v>
      </c>
      <c r="U11">
        <f>U7</f>
        <v>-72.352775847544</v>
      </c>
      <c r="W11">
        <f>V7</f>
        <v>153.52984270755087</v>
      </c>
      <c r="BS11" t="str">
        <f>'設計計算'!C11</f>
        <v>1:n=</v>
      </c>
      <c r="BT11">
        <f>'設計計算'!D11</f>
        <v>0</v>
      </c>
      <c r="BU11">
        <f t="shared" si="0"/>
        <v>7</v>
      </c>
      <c r="BV11">
        <f>B</f>
        <v>2.5</v>
      </c>
      <c r="BW11">
        <f>ta</f>
        <v>0.5</v>
      </c>
    </row>
    <row r="12" spans="2:75" ht="18" customHeight="1">
      <c r="B12" s="74" t="s">
        <v>382</v>
      </c>
      <c r="C12">
        <f>(COS(φ-α-θ))^2/(COS(θ)*COS(α)^2*COS(α+δc+θ)*(1+(SIN(φ+δc)*SIN(φ-β-θ)/COS(α+δc+θ)/COS(α-β))^0.5)^2)</f>
        <v>0.2444094893507006</v>
      </c>
      <c r="D12" s="93"/>
      <c r="E12" s="103" t="s">
        <v>398</v>
      </c>
      <c r="F12">
        <f>ASIN(SIN(β+θ)/SIN(φ))</f>
        <v>0</v>
      </c>
      <c r="G12" s="75"/>
      <c r="H12" s="75"/>
      <c r="I12" s="95"/>
      <c r="K12" s="91" t="s">
        <v>72</v>
      </c>
      <c r="L12" s="75">
        <f>'入力'!Y9</f>
        <v>2.859736483809603</v>
      </c>
      <c r="M12" s="75" t="s">
        <v>41</v>
      </c>
      <c r="N12" s="75" t="s">
        <v>363</v>
      </c>
      <c r="O12" s="75">
        <f>'入力'!Y17</f>
        <v>169.72429635927278</v>
      </c>
      <c r="P12" s="76"/>
      <c r="T12" s="103" t="s">
        <v>373</v>
      </c>
      <c r="U12">
        <f>U11+S6</f>
        <v>-14.391699966805852</v>
      </c>
      <c r="W12">
        <f>W11+R6</f>
        <v>239.2264033707023</v>
      </c>
      <c r="BS12" t="str">
        <f>'設計計算'!C12</f>
        <v>Lw=</v>
      </c>
      <c r="BT12">
        <f>'設計計算'!D12</f>
        <v>10</v>
      </c>
      <c r="BU12">
        <f t="shared" si="0"/>
        <v>8</v>
      </c>
      <c r="BV12">
        <f>B</f>
        <v>2.5</v>
      </c>
      <c r="BW12">
        <f>0</f>
        <v>0</v>
      </c>
    </row>
    <row r="13" spans="2:75" ht="18" customHeight="1">
      <c r="B13" s="74" t="s">
        <v>383</v>
      </c>
      <c r="C13">
        <f>IF(kH&gt;0,φ/2,φ/3*2)</f>
        <v>0.4072434921320102</v>
      </c>
      <c r="D13" s="93" t="s">
        <v>384</v>
      </c>
      <c r="E13" s="103" t="s">
        <v>399</v>
      </c>
      <c r="F13" s="93">
        <f>ATAN(SIN(φ)*SIN(θ+F12-β)/(1-SIN(φ)*COS(θ+F12-β)))</f>
        <v>0</v>
      </c>
      <c r="G13" s="75"/>
      <c r="H13" s="18"/>
      <c r="I13" s="95"/>
      <c r="K13" s="91" t="s">
        <v>73</v>
      </c>
      <c r="L13" s="75">
        <f>'入力'!Y10</f>
        <v>1</v>
      </c>
      <c r="M13" s="75" t="s">
        <v>41</v>
      </c>
      <c r="N13" s="75" t="s">
        <v>364</v>
      </c>
      <c r="O13" s="75">
        <f>'入力'!Y18</f>
        <v>103.45717387762859</v>
      </c>
      <c r="P13" s="76"/>
      <c r="T13" s="103" t="s">
        <v>401</v>
      </c>
      <c r="U13">
        <f>U12+S7</f>
        <v>0</v>
      </c>
      <c r="W13">
        <f>W12+R7</f>
        <v>245.43437675849808</v>
      </c>
      <c r="BU13">
        <f t="shared" si="0"/>
        <v>9</v>
      </c>
      <c r="BV13">
        <v>0</v>
      </c>
      <c r="BW13">
        <v>0</v>
      </c>
    </row>
    <row r="14" spans="2:76" ht="18" customHeight="1">
      <c r="B14" s="74" t="s">
        <v>35</v>
      </c>
      <c r="C14" s="93">
        <f>B-(bt+Hw*n+bo)</f>
        <v>1</v>
      </c>
      <c r="D14" s="93" t="s">
        <v>361</v>
      </c>
      <c r="E14" s="93" t="s">
        <v>404</v>
      </c>
      <c r="F14" s="93">
        <f>α</f>
        <v>0</v>
      </c>
      <c r="G14" s="75"/>
      <c r="H14" s="75"/>
      <c r="I14" s="95"/>
      <c r="K14" s="91" t="s">
        <v>74</v>
      </c>
      <c r="L14" s="75">
        <f>'入力'!Y11</f>
        <v>5.760042773871711</v>
      </c>
      <c r="M14" s="75" t="s">
        <v>41</v>
      </c>
      <c r="N14" s="75"/>
      <c r="O14" s="75"/>
      <c r="P14" s="76"/>
      <c r="T14" s="103" t="s">
        <v>374</v>
      </c>
      <c r="U14">
        <f>U13</f>
        <v>0</v>
      </c>
      <c r="W14">
        <f>W13+R8</f>
        <v>171.58418902857622</v>
      </c>
      <c r="BS14" t="e">
        <f>設計計算!#REF!</f>
        <v>#REF!</v>
      </c>
      <c r="BT14" t="e">
        <f>設計計算!#REF!</f>
        <v>#REF!</v>
      </c>
      <c r="BU14">
        <f t="shared" si="0"/>
        <v>10</v>
      </c>
      <c r="BV14">
        <f>BV9</f>
        <v>1.5</v>
      </c>
      <c r="BX14">
        <f>H</f>
        <v>5</v>
      </c>
    </row>
    <row r="15" spans="2:76" ht="18" customHeight="1">
      <c r="B15" s="74" t="s">
        <v>42</v>
      </c>
      <c r="C15" s="93">
        <f>H+Lh*TAN(β)</f>
        <v>5</v>
      </c>
      <c r="D15" s="93" t="s">
        <v>361</v>
      </c>
      <c r="E15" s="93"/>
      <c r="F15" s="93"/>
      <c r="G15" s="97"/>
      <c r="H15" s="75"/>
      <c r="I15" s="76"/>
      <c r="K15" s="91" t="s">
        <v>75</v>
      </c>
      <c r="L15" s="75">
        <f>'入力'!Y12</f>
        <v>2.7996654831610313</v>
      </c>
      <c r="M15" s="75" t="s">
        <v>41</v>
      </c>
      <c r="N15" s="75"/>
      <c r="O15" s="75"/>
      <c r="P15" s="76"/>
      <c r="T15" s="103" t="s">
        <v>375</v>
      </c>
      <c r="U15">
        <f>U14+R8*kH</f>
        <v>0</v>
      </c>
      <c r="W15">
        <f>W14</f>
        <v>171.58418902857622</v>
      </c>
      <c r="BS15" t="str">
        <f>'設計計算'!D31</f>
        <v>1:m=1:</v>
      </c>
      <c r="BT15">
        <f>'設計計算'!E31</f>
        <v>0</v>
      </c>
      <c r="BU15">
        <f t="shared" si="0"/>
        <v>11</v>
      </c>
      <c r="BV15">
        <f>BV30+2</f>
        <v>7.359736483809603</v>
      </c>
      <c r="BX15">
        <f>BX14+(BV15-BV14)*TAN(β)</f>
        <v>5</v>
      </c>
    </row>
    <row r="16" spans="2:76" ht="18" customHeight="1">
      <c r="B16" s="116" t="s">
        <v>429</v>
      </c>
      <c r="C16">
        <f>ATAN(COS(φ+δc+α-β)/(SQRT(COS(α+δc+θ)*SIN(φ+δc)/COS(α-β)/SIN(φ-β-θ))-SIN(φ+δc+α-β)))+β</f>
        <v>1.0287432680957722</v>
      </c>
      <c r="D16" t="s">
        <v>426</v>
      </c>
      <c r="E16">
        <f>C16*180/PI()</f>
        <v>58.94264746438311</v>
      </c>
      <c r="F16" t="s">
        <v>430</v>
      </c>
      <c r="G16" s="97"/>
      <c r="H16" s="75"/>
      <c r="I16" s="76"/>
      <c r="K16" s="91" t="s">
        <v>59</v>
      </c>
      <c r="L16" s="75">
        <f>2*L7/(γ*HA^2)</f>
        <v>0.2982853290103143</v>
      </c>
      <c r="M16" s="75"/>
      <c r="N16" s="75"/>
      <c r="O16" s="75"/>
      <c r="P16" s="76"/>
      <c r="T16" s="103"/>
      <c r="BS16" t="str">
        <f>'設計計算'!D33</f>
        <v>γ=</v>
      </c>
      <c r="BT16">
        <f>'設計計算'!E33</f>
        <v>20</v>
      </c>
      <c r="BU16">
        <f t="shared" si="0"/>
        <v>12</v>
      </c>
      <c r="BV16">
        <f>BV15</f>
        <v>7.359736483809603</v>
      </c>
      <c r="BX16">
        <f>BX15</f>
        <v>5</v>
      </c>
    </row>
    <row r="17" spans="2:77" ht="18" customHeight="1">
      <c r="B17" s="99" t="s">
        <v>58</v>
      </c>
      <c r="C17" s="78">
        <f>data!F20</f>
        <v>2</v>
      </c>
      <c r="D17" s="78"/>
      <c r="E17" s="78"/>
      <c r="F17" s="78"/>
      <c r="G17" s="98"/>
      <c r="H17" s="78"/>
      <c r="I17" s="79"/>
      <c r="K17" s="77"/>
      <c r="L17" s="78"/>
      <c r="M17" s="78"/>
      <c r="N17" s="78"/>
      <c r="O17" s="78"/>
      <c r="P17" s="79"/>
      <c r="BS17" t="str">
        <f>'設計計算'!D34</f>
        <v>φ=</v>
      </c>
      <c r="BT17">
        <f>'設計計算'!E34</f>
        <v>35</v>
      </c>
      <c r="BU17">
        <f t="shared" si="0"/>
        <v>13</v>
      </c>
      <c r="BV17">
        <f>IF(ΔH=0,Lh+BV9,BV15)</f>
        <v>2.5</v>
      </c>
      <c r="BY17">
        <f>HA</f>
        <v>5</v>
      </c>
    </row>
    <row r="18" spans="71:77" ht="18" customHeight="1">
      <c r="BS18" t="str">
        <f>'設計計算'!D35</f>
        <v>c=</v>
      </c>
      <c r="BT18">
        <f>'設計計算'!E35</f>
        <v>0</v>
      </c>
      <c r="BU18">
        <f t="shared" si="0"/>
        <v>14</v>
      </c>
      <c r="BV18">
        <f>BV17</f>
        <v>2.5</v>
      </c>
      <c r="BY18">
        <f>HA+qr/γ</f>
        <v>5.5</v>
      </c>
    </row>
    <row r="19" spans="2:77" ht="18" customHeight="1">
      <c r="B19" s="74" t="s">
        <v>427</v>
      </c>
      <c r="C19" s="75">
        <v>0</v>
      </c>
      <c r="D19" s="115" t="s">
        <v>428</v>
      </c>
      <c r="BU19">
        <f>BU18+1</f>
        <v>15</v>
      </c>
      <c r="BV19">
        <f>BV16</f>
        <v>7.359736483809603</v>
      </c>
      <c r="BY19">
        <f>BX15+qr/γ</f>
        <v>5.5</v>
      </c>
    </row>
    <row r="20" spans="71:78" ht="18" customHeight="1">
      <c r="BS20" t="str">
        <f>'設計計算'!D36</f>
        <v>q=</v>
      </c>
      <c r="BT20">
        <f>'設計計算'!E36</f>
        <v>10</v>
      </c>
      <c r="BU20">
        <f>BU19+1</f>
        <v>16</v>
      </c>
      <c r="BV20">
        <f>BV9</f>
        <v>1.5</v>
      </c>
      <c r="BZ20">
        <f>H</f>
        <v>5</v>
      </c>
    </row>
    <row r="21" spans="3:78" ht="18" customHeight="1">
      <c r="C21" t="s">
        <v>53</v>
      </c>
      <c r="D21">
        <f>IF(Lh=0,PI()/2,ATAN(H/Lh))</f>
        <v>1.373400766945016</v>
      </c>
      <c r="E21" t="s">
        <v>45</v>
      </c>
      <c r="F21">
        <f>D21*180/PI()</f>
        <v>78.69006752597979</v>
      </c>
      <c r="G21" t="s">
        <v>39</v>
      </c>
      <c r="AA21" t="s">
        <v>52</v>
      </c>
      <c r="AB21" t="s">
        <v>381</v>
      </c>
      <c r="AC21" t="s">
        <v>47</v>
      </c>
      <c r="AD21" t="s">
        <v>48</v>
      </c>
      <c r="AE21" t="s">
        <v>49</v>
      </c>
      <c r="AF21" t="s">
        <v>50</v>
      </c>
      <c r="AG21" t="s">
        <v>385</v>
      </c>
      <c r="AH21" t="s">
        <v>386</v>
      </c>
      <c r="AI21" t="s">
        <v>387</v>
      </c>
      <c r="AJ21" t="s">
        <v>388</v>
      </c>
      <c r="AK21" t="s">
        <v>389</v>
      </c>
      <c r="AL21" t="s">
        <v>390</v>
      </c>
      <c r="AM21" t="s">
        <v>400</v>
      </c>
      <c r="AN21" t="s">
        <v>391</v>
      </c>
      <c r="AO21" t="s">
        <v>392</v>
      </c>
      <c r="AP21" t="s">
        <v>393</v>
      </c>
      <c r="AQ21" t="s">
        <v>394</v>
      </c>
      <c r="AR21" t="s">
        <v>395</v>
      </c>
      <c r="AS21" t="s">
        <v>396</v>
      </c>
      <c r="AT21" t="s">
        <v>397</v>
      </c>
      <c r="BU21">
        <f>BU20+1</f>
        <v>17</v>
      </c>
      <c r="BV21">
        <f>BV20</f>
        <v>1.5</v>
      </c>
      <c r="BZ21">
        <f>H+qf/γ</f>
        <v>5</v>
      </c>
    </row>
    <row r="22" spans="27:78" ht="18" customHeight="1">
      <c r="AA22">
        <f>AK22/COS(θ)*SIN(AE22-φ+θ)/COS(AE22-φ-$F$13)</f>
        <v>77.93340593210927</v>
      </c>
      <c r="AB22">
        <f>AQ22</f>
        <v>70.37292807649867</v>
      </c>
      <c r="AC22" s="1">
        <f>L5-4</f>
        <v>56.23271881956531</v>
      </c>
      <c r="AD22">
        <f>L6-4</f>
        <v>65.07254993056665</v>
      </c>
      <c r="AE22">
        <f>AC22*PI()/180</f>
        <v>0.9814460907495938</v>
      </c>
      <c r="AF22">
        <f>AD22*PI()/180</f>
        <v>1.1357302489567955</v>
      </c>
      <c r="AG22">
        <f>AI22*COS(AE22)</f>
        <v>3.3430749927210344</v>
      </c>
      <c r="AH22">
        <f>MIN(Lh,AJ22*COS(AF22))</f>
        <v>1</v>
      </c>
      <c r="AI22">
        <f>HA/SIN(AE22-β)*COS(β)</f>
        <v>6.014661287799733</v>
      </c>
      <c r="AJ22">
        <f>IF(AF22&gt;=ωL2,HA/SIN(AF22+β)*COS(β),(Lh-H*TAN(α))/COS(AF22+α))</f>
        <v>2.372646286034325</v>
      </c>
      <c r="AK22">
        <f>0.5*γ*HA*AG22+AG22*qr</f>
        <v>200.58449956326206</v>
      </c>
      <c r="AL22">
        <f>0.5*γ/SIN(AF22+β)*(HA^2*COS(AF22)*COS(β)-(AM22/COS(α))^2*COS(AF22+α)*COS(β-α))+AH22*qf</f>
        <v>78.48384235363461</v>
      </c>
      <c r="AM22">
        <f>MAX(0,H-AJ22*SIN(AF22))</f>
        <v>2.8483842353634614</v>
      </c>
      <c r="AN22">
        <f>IF(AM22=0,0,0.5*γ*AM22^2*Kac*(1+2*qf*COS(α)*COS(β)/(γ*AM22*COS(α-β))))</f>
        <v>19.8296573853434</v>
      </c>
      <c r="AO22">
        <f>((AK22+AL22)/COS(θ)*SIN(AF22-φ-θ)+AN22*COS(AF22-φ+δc+α))/SIN(AE22+AF22-2*φ)</f>
        <v>194.31612385559208</v>
      </c>
      <c r="AP22">
        <f>ATAN((AK22-AO22*COS(AE22-φ))/(AO22*SIN(AE22-φ)+AK22*TAN(θ)))</f>
        <v>0.26977334456327046</v>
      </c>
      <c r="AQ22">
        <f>AO22*SIN(AE22-φ)+AK22*TAN(θ)</f>
        <v>70.37292807649867</v>
      </c>
      <c r="AR22">
        <f>AK22-AO22*COS(AE22-φ)</f>
        <v>19.459109338142724</v>
      </c>
      <c r="AS22">
        <f>AQ22/COS(AP22)</f>
        <v>73.01373803808328</v>
      </c>
      <c r="AT22">
        <f>2*AS22/γ/HA^2</f>
        <v>0.29205495215233307</v>
      </c>
      <c r="BU22">
        <f t="shared" si="0"/>
        <v>18</v>
      </c>
      <c r="BV22">
        <f>B</f>
        <v>2.5</v>
      </c>
      <c r="BZ22">
        <f>HA+qf/γ</f>
        <v>5</v>
      </c>
    </row>
    <row r="23" spans="27:78" ht="18" customHeight="1">
      <c r="AA23">
        <f aca="true" t="shared" si="1" ref="AA23:AA30">AK23/COS(θ)*SIN(AE23-φ+θ)/COS(AE23-φ-$F$13)</f>
        <v>77.93340593210927</v>
      </c>
      <c r="AB23">
        <f aca="true" t="shared" si="2" ref="AB23:AB30">AQ23</f>
        <v>70.59138943754427</v>
      </c>
      <c r="AC23" s="1">
        <f>AC22</f>
        <v>56.23271881956531</v>
      </c>
      <c r="AD23">
        <f>AD22+1</f>
        <v>66.07254993056665</v>
      </c>
      <c r="AE23">
        <f aca="true" t="shared" si="3" ref="AE23:AE59">AC23*PI()/180</f>
        <v>0.9814460907495938</v>
      </c>
      <c r="AF23">
        <f aca="true" t="shared" si="4" ref="AF23:AF59">AD23*PI()/180</f>
        <v>1.1531835414767388</v>
      </c>
      <c r="AG23">
        <f aca="true" t="shared" si="5" ref="AG23:AG86">AI23*COS(AE23)</f>
        <v>3.3430749927210344</v>
      </c>
      <c r="AH23">
        <f aca="true" t="shared" si="6" ref="AH23:AH86">MIN(Lh,AJ23*COS(AF23))</f>
        <v>1</v>
      </c>
      <c r="AI23">
        <f aca="true" t="shared" si="7" ref="AI23:AI86">HA/SIN(AE23-β)*COS(β)</f>
        <v>6.014661287799733</v>
      </c>
      <c r="AJ23">
        <f aca="true" t="shared" si="8" ref="AJ23:AJ86">IF(AF23&gt;=ωL2,HA/SIN(AF23+β)*COS(β),(Lh-H*TAN(α))/COS(AF23+α))</f>
        <v>2.465607524585725</v>
      </c>
      <c r="AK23">
        <f aca="true" t="shared" si="9" ref="AK23:AK86">0.5*γ*HA*AG23+AG23*qr</f>
        <v>200.58449956326206</v>
      </c>
      <c r="AL23">
        <f aca="true" t="shared" si="10" ref="AL23:AL86">0.5*γ/SIN(AF23+β)*(HA^2*COS(AF23)*COS(β)-(AM23/COS(α))^2*COS(AF23+α)*COS(β-α))+AH23*qf</f>
        <v>77.4628740401671</v>
      </c>
      <c r="AM23">
        <f aca="true" t="shared" si="11" ref="AM23:AM86">MAX(0,H-AJ23*SIN(AF23))</f>
        <v>2.7462874040167087</v>
      </c>
      <c r="AN23">
        <f aca="true" t="shared" si="12" ref="AN23:AN86">IF(AM23=0,0,0.5*γ*AM23^2*Kac*(1+2*qf*COS(α)*COS(β)/(γ*AM23*COS(α-β))))</f>
        <v>18.433594667144067</v>
      </c>
      <c r="AO23">
        <f aca="true" t="shared" si="13" ref="AO23:AO86">((AK23+AL23)/COS(θ)*SIN(AF23-φ-θ)+AN23*COS(AF23-φ+δc+α))/SIN(AE23+AF23-2*φ)</f>
        <v>194.91934680013765</v>
      </c>
      <c r="AP23">
        <f aca="true" t="shared" si="14" ref="AP23:AP86">ATAN((AK23-AO23*COS(AE23-φ))/(AO23*SIN(AE23-φ)+AK23*TAN(θ)))</f>
        <v>0.26156052779119165</v>
      </c>
      <c r="AQ23">
        <f aca="true" t="shared" si="15" ref="AQ23:AQ86">AO23*SIN(AE23-φ)+AK23*TAN(θ)</f>
        <v>70.59138943754427</v>
      </c>
      <c r="AR23">
        <f aca="true" t="shared" si="16" ref="AR23:AR86">AK23-AO23*COS(AE23-φ)</f>
        <v>18.89683489042497</v>
      </c>
      <c r="AS23">
        <f aca="true" t="shared" si="17" ref="AS23:AS86">AQ23/COS(AP23)</f>
        <v>73.07690901782189</v>
      </c>
      <c r="AT23">
        <f aca="true" t="shared" si="18" ref="AT23:AT86">2*AS23/γ/HA^2</f>
        <v>0.29230763607128757</v>
      </c>
      <c r="BU23">
        <f t="shared" si="0"/>
        <v>19</v>
      </c>
      <c r="BV23">
        <f>BV22</f>
        <v>2.5</v>
      </c>
      <c r="BZ23">
        <f>HA</f>
        <v>5</v>
      </c>
    </row>
    <row r="24" spans="27:79" ht="18" customHeight="1">
      <c r="AA24">
        <f t="shared" si="1"/>
        <v>77.93340593210927</v>
      </c>
      <c r="AB24">
        <f t="shared" si="2"/>
        <v>70.7734882743497</v>
      </c>
      <c r="AC24" s="1">
        <f aca="true" t="shared" si="19" ref="AC24:AC30">AC23</f>
        <v>56.23271881956531</v>
      </c>
      <c r="AD24">
        <f aca="true" t="shared" si="20" ref="AD24:AD75">AD23+1</f>
        <v>67.07254993056665</v>
      </c>
      <c r="AE24">
        <f t="shared" si="3"/>
        <v>0.9814460907495938</v>
      </c>
      <c r="AF24">
        <f t="shared" si="4"/>
        <v>1.1706368339966822</v>
      </c>
      <c r="AG24">
        <f t="shared" si="5"/>
        <v>3.3430749927210344</v>
      </c>
      <c r="AH24">
        <f t="shared" si="6"/>
        <v>1</v>
      </c>
      <c r="AI24">
        <f t="shared" si="7"/>
        <v>6.014661287799733</v>
      </c>
      <c r="AJ24">
        <f t="shared" si="8"/>
        <v>2.566964137066278</v>
      </c>
      <c r="AK24">
        <f t="shared" si="9"/>
        <v>200.58449956326206</v>
      </c>
      <c r="AL24">
        <f t="shared" si="10"/>
        <v>76.35828923071678</v>
      </c>
      <c r="AM24">
        <f t="shared" si="11"/>
        <v>2.6358289230716783</v>
      </c>
      <c r="AN24">
        <f t="shared" si="12"/>
        <v>16.980579290568254</v>
      </c>
      <c r="AO24">
        <f t="shared" si="13"/>
        <v>195.42216430530357</v>
      </c>
      <c r="AP24">
        <f t="shared" si="14"/>
        <v>0.2547259383983394</v>
      </c>
      <c r="AQ24">
        <f t="shared" si="15"/>
        <v>70.7734882743497</v>
      </c>
      <c r="AR24">
        <f t="shared" si="16"/>
        <v>18.428150074012706</v>
      </c>
      <c r="AS24">
        <f t="shared" si="17"/>
        <v>73.1333259032423</v>
      </c>
      <c r="AT24">
        <f t="shared" si="18"/>
        <v>0.2925333036129692</v>
      </c>
      <c r="BU24">
        <f t="shared" si="0"/>
        <v>20</v>
      </c>
      <c r="BV24">
        <f>B</f>
        <v>2.5</v>
      </c>
      <c r="CA24">
        <v>0</v>
      </c>
    </row>
    <row r="25" spans="4:79" ht="18" customHeight="1">
      <c r="D25" s="1"/>
      <c r="AA25">
        <f t="shared" si="1"/>
        <v>77.93340593210927</v>
      </c>
      <c r="AB25">
        <f t="shared" si="2"/>
        <v>70.91762724094254</v>
      </c>
      <c r="AC25" s="1">
        <f>AC24</f>
        <v>56.23271881956531</v>
      </c>
      <c r="AD25">
        <f>AD24+1</f>
        <v>68.07254993056665</v>
      </c>
      <c r="AE25">
        <f t="shared" si="3"/>
        <v>0.9814460907495938</v>
      </c>
      <c r="AF25">
        <f t="shared" si="4"/>
        <v>1.1880901265166253</v>
      </c>
      <c r="AG25">
        <f t="shared" si="5"/>
        <v>3.3430749927210344</v>
      </c>
      <c r="AH25">
        <f t="shared" si="6"/>
        <v>1</v>
      </c>
      <c r="AI25">
        <f t="shared" si="7"/>
        <v>6.014661287799733</v>
      </c>
      <c r="AJ25">
        <f t="shared" si="8"/>
        <v>2.6778618385575714</v>
      </c>
      <c r="AK25">
        <f t="shared" si="9"/>
        <v>200.58449956326206</v>
      </c>
      <c r="AL25">
        <f t="shared" si="10"/>
        <v>75.1586151223348</v>
      </c>
      <c r="AM25">
        <f t="shared" si="11"/>
        <v>2.5158615122334793</v>
      </c>
      <c r="AN25">
        <f t="shared" si="12"/>
        <v>15.470043193580436</v>
      </c>
      <c r="AO25">
        <f t="shared" si="13"/>
        <v>195.82016572503164</v>
      </c>
      <c r="AP25">
        <f t="shared" si="14"/>
        <v>0.24932373693832868</v>
      </c>
      <c r="AQ25">
        <f t="shared" si="15"/>
        <v>70.91762724094254</v>
      </c>
      <c r="AR25">
        <f t="shared" si="16"/>
        <v>18.05716612770894</v>
      </c>
      <c r="AS25">
        <f t="shared" si="17"/>
        <v>73.1804010787653</v>
      </c>
      <c r="AT25">
        <f t="shared" si="18"/>
        <v>0.29272160431506117</v>
      </c>
      <c r="BU25">
        <f t="shared" si="0"/>
        <v>21</v>
      </c>
      <c r="BV25">
        <f>BV24</f>
        <v>2.5</v>
      </c>
      <c r="CA25">
        <f>HA</f>
        <v>5</v>
      </c>
    </row>
    <row r="26" spans="4:80" ht="18" customHeight="1">
      <c r="D26" s="1"/>
      <c r="AA26">
        <f t="shared" si="1"/>
        <v>77.93340593210927</v>
      </c>
      <c r="AB26">
        <f t="shared" si="2"/>
        <v>71.02178752552007</v>
      </c>
      <c r="AC26" s="1">
        <f t="shared" si="19"/>
        <v>56.23271881956531</v>
      </c>
      <c r="AD26">
        <f t="shared" si="20"/>
        <v>69.07254993056665</v>
      </c>
      <c r="AE26">
        <f t="shared" si="3"/>
        <v>0.9814460907495938</v>
      </c>
      <c r="AF26">
        <f t="shared" si="4"/>
        <v>1.2055434190365688</v>
      </c>
      <c r="AG26">
        <f t="shared" si="5"/>
        <v>3.3430749927210344</v>
      </c>
      <c r="AH26">
        <f t="shared" si="6"/>
        <v>1</v>
      </c>
      <c r="AI26">
        <f t="shared" si="7"/>
        <v>6.014661287799733</v>
      </c>
      <c r="AJ26">
        <f t="shared" si="8"/>
        <v>2.7996654831610313</v>
      </c>
      <c r="AK26">
        <f t="shared" si="9"/>
        <v>200.58449956326206</v>
      </c>
      <c r="AL26">
        <f t="shared" si="10"/>
        <v>73.85018772992186</v>
      </c>
      <c r="AM26">
        <f t="shared" si="11"/>
        <v>2.3850187729921863</v>
      </c>
      <c r="AN26">
        <f t="shared" si="12"/>
        <v>13.902780538267843</v>
      </c>
      <c r="AO26">
        <f t="shared" si="13"/>
        <v>196.10777664747044</v>
      </c>
      <c r="AP26">
        <f t="shared" si="14"/>
        <v>0.24542430500930518</v>
      </c>
      <c r="AQ26">
        <f t="shared" si="15"/>
        <v>71.02178752552007</v>
      </c>
      <c r="AR26">
        <f t="shared" si="16"/>
        <v>17.789079056363022</v>
      </c>
      <c r="AS26">
        <f t="shared" si="17"/>
        <v>73.21574719275664</v>
      </c>
      <c r="AT26">
        <f t="shared" si="18"/>
        <v>0.29286298877102657</v>
      </c>
      <c r="AW26" s="80"/>
      <c r="AX26" s="81" t="s">
        <v>51</v>
      </c>
      <c r="AY26" s="81"/>
      <c r="AZ26" s="81"/>
      <c r="BA26" s="81"/>
      <c r="BB26" s="81"/>
      <c r="BC26" s="81"/>
      <c r="BD26" s="81"/>
      <c r="BE26" s="81"/>
      <c r="BF26" s="82"/>
      <c r="BG26" s="84"/>
      <c r="BH26" s="84"/>
      <c r="BI26" s="84"/>
      <c r="BV26">
        <f>BV25</f>
        <v>2.5</v>
      </c>
      <c r="CB26">
        <v>0</v>
      </c>
    </row>
    <row r="27" spans="4:80" ht="18" customHeight="1">
      <c r="D27" s="1"/>
      <c r="J27" s="105"/>
      <c r="AA27">
        <f t="shared" si="1"/>
        <v>77.93340593210927</v>
      </c>
      <c r="AB27">
        <f t="shared" si="2"/>
        <v>71.08347282903334</v>
      </c>
      <c r="AC27" s="1">
        <f t="shared" si="19"/>
        <v>56.23271881956531</v>
      </c>
      <c r="AD27">
        <f>AD26+1</f>
        <v>70.07254993056665</v>
      </c>
      <c r="AE27">
        <f t="shared" si="3"/>
        <v>0.9814460907495938</v>
      </c>
      <c r="AF27">
        <f t="shared" si="4"/>
        <v>1.222996711556512</v>
      </c>
      <c r="AG27">
        <f t="shared" si="5"/>
        <v>3.3430749927210344</v>
      </c>
      <c r="AH27">
        <f t="shared" si="6"/>
        <v>1</v>
      </c>
      <c r="AI27">
        <f t="shared" si="7"/>
        <v>6.014661287799733</v>
      </c>
      <c r="AJ27">
        <f t="shared" si="8"/>
        <v>2.9340140450929098</v>
      </c>
      <c r="AK27">
        <f t="shared" si="9"/>
        <v>200.58449956326206</v>
      </c>
      <c r="AL27">
        <f t="shared" si="10"/>
        <v>72.41660206428065</v>
      </c>
      <c r="AM27">
        <f t="shared" si="11"/>
        <v>2.241660206428066</v>
      </c>
      <c r="AN27">
        <f t="shared" si="12"/>
        <v>12.281675779481244</v>
      </c>
      <c r="AO27">
        <f t="shared" si="13"/>
        <v>196.27810420673478</v>
      </c>
      <c r="AP27">
        <f t="shared" si="14"/>
        <v>0.24311679706427777</v>
      </c>
      <c r="AQ27">
        <f t="shared" si="15"/>
        <v>71.08347282903334</v>
      </c>
      <c r="AR27">
        <f t="shared" si="16"/>
        <v>17.630313818431603</v>
      </c>
      <c r="AS27">
        <f t="shared" si="17"/>
        <v>73.23720417091508</v>
      </c>
      <c r="AT27">
        <f t="shared" si="18"/>
        <v>0.2929488166836603</v>
      </c>
      <c r="AW27" s="83"/>
      <c r="AX27" s="84">
        <v>22</v>
      </c>
      <c r="AY27" s="84">
        <f>AX27+9</f>
        <v>31</v>
      </c>
      <c r="AZ27" s="84">
        <f aca="true" t="shared" si="21" ref="AZ27:BF27">AY27+9</f>
        <v>40</v>
      </c>
      <c r="BA27" s="84">
        <f t="shared" si="21"/>
        <v>49</v>
      </c>
      <c r="BB27" s="84">
        <f t="shared" si="21"/>
        <v>58</v>
      </c>
      <c r="BC27" s="84">
        <f t="shared" si="21"/>
        <v>67</v>
      </c>
      <c r="BD27" s="84">
        <f>BC27+9</f>
        <v>76</v>
      </c>
      <c r="BE27" s="84">
        <f t="shared" si="21"/>
        <v>85</v>
      </c>
      <c r="BF27" s="85">
        <f t="shared" si="21"/>
        <v>94</v>
      </c>
      <c r="BG27" s="84"/>
      <c r="BH27" s="84"/>
      <c r="BI27" s="84"/>
      <c r="BV27">
        <f>BV26-L15*COS(N6)</f>
        <v>1.5</v>
      </c>
      <c r="CB27">
        <f>L15*SIN(N6)</f>
        <v>2.6149812270078137</v>
      </c>
    </row>
    <row r="28" spans="4:80" ht="18" customHeight="1">
      <c r="D28" s="1"/>
      <c r="J28" s="105"/>
      <c r="AA28">
        <f t="shared" si="1"/>
        <v>77.93340593210927</v>
      </c>
      <c r="AB28">
        <f t="shared" si="2"/>
        <v>71.09964301006143</v>
      </c>
      <c r="AC28" s="1">
        <f t="shared" si="19"/>
        <v>56.23271881956531</v>
      </c>
      <c r="AD28">
        <f t="shared" si="20"/>
        <v>71.07254993056665</v>
      </c>
      <c r="AE28">
        <f t="shared" si="3"/>
        <v>0.9814460907495938</v>
      </c>
      <c r="AF28">
        <f t="shared" si="4"/>
        <v>1.2404500040764552</v>
      </c>
      <c r="AG28">
        <f t="shared" si="5"/>
        <v>3.3430749927210344</v>
      </c>
      <c r="AH28">
        <f t="shared" si="6"/>
        <v>1</v>
      </c>
      <c r="AI28">
        <f t="shared" si="7"/>
        <v>6.014661287799733</v>
      </c>
      <c r="AJ28">
        <f t="shared" si="8"/>
        <v>3.082893028967365</v>
      </c>
      <c r="AK28">
        <f t="shared" si="9"/>
        <v>200.58449956326206</v>
      </c>
      <c r="AL28">
        <f t="shared" si="10"/>
        <v>70.83798801856159</v>
      </c>
      <c r="AM28">
        <f t="shared" si="11"/>
        <v>2.083798801856159</v>
      </c>
      <c r="AN28">
        <f t="shared" si="12"/>
        <v>10.612791487774041</v>
      </c>
      <c r="AO28">
        <f t="shared" si="13"/>
        <v>196.3227538608746</v>
      </c>
      <c r="AP28">
        <f t="shared" si="14"/>
        <v>0.242512131789089</v>
      </c>
      <c r="AQ28">
        <f t="shared" si="15"/>
        <v>71.09964301006143</v>
      </c>
      <c r="AR28">
        <f t="shared" si="16"/>
        <v>17.588695110374715</v>
      </c>
      <c r="AS28">
        <f t="shared" si="17"/>
        <v>73.24289338798609</v>
      </c>
      <c r="AT28">
        <f t="shared" si="18"/>
        <v>0.29297157355194436</v>
      </c>
      <c r="AW28" s="83" t="s">
        <v>46</v>
      </c>
      <c r="AX28" s="86">
        <f>AC22</f>
        <v>56.23271881956531</v>
      </c>
      <c r="AY28" s="87">
        <f>AX28+1</f>
        <v>57.23271881956531</v>
      </c>
      <c r="AZ28" s="87">
        <f aca="true" t="shared" si="22" ref="AZ28:BE28">AY28+1</f>
        <v>58.23271881956531</v>
      </c>
      <c r="BA28" s="87">
        <f t="shared" si="22"/>
        <v>59.23271881956531</v>
      </c>
      <c r="BB28" s="87">
        <f t="shared" si="22"/>
        <v>60.23271881956531</v>
      </c>
      <c r="BC28" s="87">
        <f t="shared" si="22"/>
        <v>61.23271881956531</v>
      </c>
      <c r="BD28" s="87">
        <f>BC28+1</f>
        <v>62.23271881956531</v>
      </c>
      <c r="BE28" s="87">
        <f t="shared" si="22"/>
        <v>63.23271881956531</v>
      </c>
      <c r="BF28" s="88">
        <f>BE28+1</f>
        <v>64.2327188195653</v>
      </c>
      <c r="BG28" s="87"/>
      <c r="BH28" s="87"/>
      <c r="BI28" s="87"/>
      <c r="BL28" s="1"/>
      <c r="BM28" s="2"/>
      <c r="BN28" s="2"/>
      <c r="BO28" s="2"/>
      <c r="BP28" s="2"/>
      <c r="BQ28" s="2"/>
      <c r="BR28" s="2"/>
      <c r="BV28">
        <f>BV9+Lac</f>
        <v>2.9363151188330088</v>
      </c>
      <c r="CB28">
        <f>BW9+Lac*TAN(β)</f>
        <v>5</v>
      </c>
    </row>
    <row r="29" spans="4:81" ht="18" customHeight="1">
      <c r="D29" s="104"/>
      <c r="E29" s="105"/>
      <c r="F29" s="105"/>
      <c r="G29" s="105"/>
      <c r="H29" s="105"/>
      <c r="I29" s="105"/>
      <c r="J29" s="105"/>
      <c r="AA29">
        <f t="shared" si="1"/>
        <v>77.93340593210927</v>
      </c>
      <c r="AB29">
        <f t="shared" si="2"/>
        <v>71.06663765896901</v>
      </c>
      <c r="AC29" s="1">
        <f t="shared" si="19"/>
        <v>56.23271881956531</v>
      </c>
      <c r="AD29">
        <f t="shared" si="20"/>
        <v>72.07254993056665</v>
      </c>
      <c r="AE29">
        <f t="shared" si="3"/>
        <v>0.9814460907495938</v>
      </c>
      <c r="AF29">
        <f t="shared" si="4"/>
        <v>1.2579032965963985</v>
      </c>
      <c r="AG29">
        <f t="shared" si="5"/>
        <v>3.3430749927210344</v>
      </c>
      <c r="AH29">
        <f t="shared" si="6"/>
        <v>1</v>
      </c>
      <c r="AI29">
        <f t="shared" si="7"/>
        <v>6.014661287799733</v>
      </c>
      <c r="AJ29">
        <f t="shared" si="8"/>
        <v>3.2487311147086606</v>
      </c>
      <c r="AK29">
        <f t="shared" si="9"/>
        <v>200.58449956326206</v>
      </c>
      <c r="AL29">
        <f t="shared" si="10"/>
        <v>69.09004390867536</v>
      </c>
      <c r="AM29">
        <f t="shared" si="11"/>
        <v>1.9090043908675352</v>
      </c>
      <c r="AN29">
        <f t="shared" si="12"/>
        <v>8.90700955627057</v>
      </c>
      <c r="AO29">
        <f t="shared" si="13"/>
        <v>196.23161836223798</v>
      </c>
      <c r="AP29">
        <f t="shared" si="14"/>
        <v>0.24374642842215932</v>
      </c>
      <c r="AQ29">
        <f t="shared" si="15"/>
        <v>71.06663765896901</v>
      </c>
      <c r="AR29">
        <f t="shared" si="16"/>
        <v>17.673644070998222</v>
      </c>
      <c r="AS29">
        <f t="shared" si="17"/>
        <v>73.2313094441136</v>
      </c>
      <c r="AT29">
        <f t="shared" si="18"/>
        <v>0.2929252377764544</v>
      </c>
      <c r="AW29" s="83">
        <f>AD22</f>
        <v>65.07254993056665</v>
      </c>
      <c r="AX29" s="84">
        <f>IF(Metho=1,$AA22*COS($AT22),$AQ22)</f>
        <v>70.37292807649867</v>
      </c>
      <c r="AY29" s="84">
        <f>IF(Metho=1,$AA31*COS($AT31),$AQ31)</f>
        <v>70.72583235992485</v>
      </c>
      <c r="AZ29" s="84">
        <f>IF(Metho=1,$AA40*COS($AT40),$AQ40)</f>
        <v>70.95913422642069</v>
      </c>
      <c r="BA29" s="84">
        <f>IF(Metho=1,$AA49*COS($AT49),$AQ49)</f>
        <v>71.08117346533538</v>
      </c>
      <c r="BB29" s="84">
        <f>IF(Metho=1,$AA58*COS($AT58),$AQ58)</f>
        <v>71.09946187095501</v>
      </c>
      <c r="BC29" s="84">
        <f>IF(Metho=1,$AA67*COS($AT67),$AQ67)</f>
        <v>71.02076965848192</v>
      </c>
      <c r="BD29" s="84">
        <f>IF(Metho=1,$AA76*COS($AT76),$AQ76)</f>
        <v>70.85120133164214</v>
      </c>
      <c r="BE29" s="84">
        <f>IF(Metho=1,$AA85*COS($AT85),$AQ85)</f>
        <v>70.59626241376793</v>
      </c>
      <c r="BF29" s="84">
        <f>IF(Metho=1,$AA94*COS($AT94),$AQ94)</f>
        <v>70.26091824464862</v>
      </c>
      <c r="BG29" s="84"/>
      <c r="BH29" s="84"/>
      <c r="BI29" s="84"/>
      <c r="BV29">
        <f>B</f>
        <v>2.5</v>
      </c>
      <c r="CC29">
        <v>0</v>
      </c>
    </row>
    <row r="30" spans="4:81" ht="18" customHeight="1">
      <c r="D30" s="104"/>
      <c r="E30" s="105"/>
      <c r="F30" s="105"/>
      <c r="G30" s="105"/>
      <c r="H30" s="105"/>
      <c r="I30" s="105"/>
      <c r="J30" s="105"/>
      <c r="AA30">
        <f t="shared" si="1"/>
        <v>77.93340593210927</v>
      </c>
      <c r="AB30">
        <f t="shared" si="2"/>
        <v>70.98009195335833</v>
      </c>
      <c r="AC30" s="1">
        <f t="shared" si="19"/>
        <v>56.23271881956531</v>
      </c>
      <c r="AD30">
        <f t="shared" si="20"/>
        <v>73.07254993056665</v>
      </c>
      <c r="AE30">
        <f t="shared" si="3"/>
        <v>0.9814460907495938</v>
      </c>
      <c r="AF30">
        <f t="shared" si="4"/>
        <v>1.2753565891163419</v>
      </c>
      <c r="AG30">
        <f t="shared" si="5"/>
        <v>3.3430749927210344</v>
      </c>
      <c r="AH30">
        <f t="shared" si="6"/>
        <v>1</v>
      </c>
      <c r="AI30">
        <f t="shared" si="7"/>
        <v>6.014661287799733</v>
      </c>
      <c r="AJ30">
        <f t="shared" si="8"/>
        <v>3.4345310588205837</v>
      </c>
      <c r="AK30">
        <f t="shared" si="9"/>
        <v>200.58449956326206</v>
      </c>
      <c r="AL30">
        <f t="shared" si="10"/>
        <v>67.14272745037525</v>
      </c>
      <c r="AM30">
        <f t="shared" si="11"/>
        <v>1.7142727450375252</v>
      </c>
      <c r="AN30">
        <f t="shared" si="12"/>
        <v>7.182537538955983</v>
      </c>
      <c r="AO30">
        <f t="shared" si="13"/>
        <v>195.99264541468156</v>
      </c>
      <c r="AP30">
        <f t="shared" si="14"/>
        <v>0.24698480300331346</v>
      </c>
      <c r="AQ30">
        <f t="shared" si="15"/>
        <v>70.98009195335833</v>
      </c>
      <c r="AR30">
        <f t="shared" si="16"/>
        <v>17.896394852150962</v>
      </c>
      <c r="AS30">
        <f t="shared" si="17"/>
        <v>73.20146448269527</v>
      </c>
      <c r="AT30">
        <f t="shared" si="18"/>
        <v>0.2928058579307811</v>
      </c>
      <c r="AW30" s="83">
        <f aca="true" t="shared" si="23" ref="AW30:AW37">AD23</f>
        <v>66.07254993056665</v>
      </c>
      <c r="AX30" s="84">
        <f aca="true" t="shared" si="24" ref="AX30:AX37">IF(Metho=1,$AA23*COS($AT23),$AQ23)</f>
        <v>70.59138943754427</v>
      </c>
      <c r="AY30" s="84">
        <f aca="true" t="shared" si="25" ref="AY30:AY37">IF(Metho=1,$AA32*COS($AT32),$AQ32)</f>
        <v>70.95687014960602</v>
      </c>
      <c r="AZ30" s="84">
        <f aca="true" t="shared" si="26" ref="AZ30:AZ37">IF(Metho=1,$AA41*COS($AT41),$AQ41)</f>
        <v>71.20089116466373</v>
      </c>
      <c r="BA30" s="84">
        <f aca="true" t="shared" si="27" ref="BA30:BA37">IF(Metho=1,$AA50*COS($AT50),$AQ50)</f>
        <v>71.33176655282972</v>
      </c>
      <c r="BB30" s="84">
        <f aca="true" t="shared" si="28" ref="BB30:BB37">IF(Metho=1,$AA59*COS($AT59),$AQ59)</f>
        <v>71.35699126306591</v>
      </c>
      <c r="BC30" s="84">
        <f aca="true" t="shared" si="29" ref="BC30:BC37">IF(Metho=1,$AA68*COS($AT68),$AQ68)</f>
        <v>71.28332556753854</v>
      </c>
      <c r="BD30" s="84">
        <f aca="true" t="shared" si="30" ref="BD30:BD37">IF(Metho=1,$AA77*COS($AT77),$AQ77)</f>
        <v>71.11686929389484</v>
      </c>
      <c r="BE30" s="84">
        <f aca="true" t="shared" si="31" ref="BE30:BE37">IF(Metho=1,$AA86*COS($AT86),$AQ86)</f>
        <v>70.86312719774318</v>
      </c>
      <c r="BF30" s="84">
        <f aca="true" t="shared" si="32" ref="BF30:BF37">IF(Metho=1,$AA95*COS($AT95),$AQ95)</f>
        <v>70.52706662886192</v>
      </c>
      <c r="BG30" s="84"/>
      <c r="BH30" s="84"/>
      <c r="BI30" s="84"/>
      <c r="BS30" s="2"/>
      <c r="BT30" s="2"/>
      <c r="BV30">
        <f>BV29+L14*COS(N5)</f>
        <v>5.359736483809603</v>
      </c>
      <c r="CC30">
        <f>L14*SIN(N5)</f>
        <v>5</v>
      </c>
    </row>
    <row r="31" spans="4:81" ht="18" customHeight="1">
      <c r="D31" s="104"/>
      <c r="E31" s="105"/>
      <c r="F31" s="105"/>
      <c r="G31" s="105"/>
      <c r="H31" s="105"/>
      <c r="I31" s="105"/>
      <c r="J31" s="105"/>
      <c r="AA31">
        <f aca="true" t="shared" si="33" ref="AA31:AA94">AK31/COS(θ)*SIN(AE31-φ+θ)/COS(AE31-φ-$F$13)</f>
        <v>78.92903756178443</v>
      </c>
      <c r="AB31">
        <f aca="true" t="shared" si="34" ref="AB31:AB94">AQ31</f>
        <v>70.72583235992485</v>
      </c>
      <c r="AC31" s="2">
        <f>$AC$30+1</f>
        <v>57.23271881956531</v>
      </c>
      <c r="AD31">
        <f>AD22</f>
        <v>65.07254993056665</v>
      </c>
      <c r="AE31">
        <f t="shared" si="3"/>
        <v>0.998899383269537</v>
      </c>
      <c r="AF31">
        <f t="shared" si="4"/>
        <v>1.1357302489567955</v>
      </c>
      <c r="AG31">
        <f t="shared" si="5"/>
        <v>3.218240490181971</v>
      </c>
      <c r="AH31">
        <f t="shared" si="6"/>
        <v>1</v>
      </c>
      <c r="AI31">
        <f t="shared" si="7"/>
        <v>5.946181283197368</v>
      </c>
      <c r="AJ31">
        <f t="shared" si="8"/>
        <v>2.372646286034325</v>
      </c>
      <c r="AK31">
        <f t="shared" si="9"/>
        <v>193.09442941091822</v>
      </c>
      <c r="AL31">
        <f t="shared" si="10"/>
        <v>78.48384235363461</v>
      </c>
      <c r="AM31">
        <f t="shared" si="11"/>
        <v>2.8483842353634614</v>
      </c>
      <c r="AN31">
        <f t="shared" si="12"/>
        <v>19.8296573853434</v>
      </c>
      <c r="AO31">
        <f t="shared" si="13"/>
        <v>186.92268459979206</v>
      </c>
      <c r="AP31">
        <f t="shared" si="14"/>
        <v>0.27648423802100813</v>
      </c>
      <c r="AQ31">
        <f t="shared" si="15"/>
        <v>70.72583235992485</v>
      </c>
      <c r="AR31">
        <f t="shared" si="16"/>
        <v>20.068573958650205</v>
      </c>
      <c r="AS31">
        <f t="shared" si="17"/>
        <v>73.51796395261505</v>
      </c>
      <c r="AT31">
        <f t="shared" si="18"/>
        <v>0.2940718558104602</v>
      </c>
      <c r="AW31" s="83">
        <f t="shared" si="23"/>
        <v>67.07254993056665</v>
      </c>
      <c r="AX31" s="84">
        <f t="shared" si="24"/>
        <v>70.7734882743497</v>
      </c>
      <c r="AY31" s="84">
        <f t="shared" si="25"/>
        <v>71.15046426988053</v>
      </c>
      <c r="AZ31" s="84">
        <f t="shared" si="26"/>
        <v>71.40421101597981</v>
      </c>
      <c r="BA31" s="84">
        <f t="shared" si="27"/>
        <v>71.54301057135454</v>
      </c>
      <c r="BB31" s="84">
        <f t="shared" si="28"/>
        <v>71.57433482128519</v>
      </c>
      <c r="BC31" s="84">
        <f t="shared" si="29"/>
        <v>71.5049280024939</v>
      </c>
      <c r="BD31" s="84">
        <f t="shared" si="30"/>
        <v>71.34087933552647</v>
      </c>
      <c r="BE31" s="84">
        <f t="shared" si="31"/>
        <v>71.08768706121286</v>
      </c>
      <c r="BF31" s="84">
        <f t="shared" si="32"/>
        <v>70.75031498895986</v>
      </c>
      <c r="BG31" s="84"/>
      <c r="BH31" s="84"/>
      <c r="BI31" s="84"/>
      <c r="BV31">
        <f>BV30</f>
        <v>5.359736483809603</v>
      </c>
      <c r="CC31">
        <f>CC30</f>
        <v>5</v>
      </c>
    </row>
    <row r="32" spans="4:82" ht="18" customHeight="1">
      <c r="D32" s="104"/>
      <c r="E32" s="105"/>
      <c r="F32" s="105"/>
      <c r="G32" s="105"/>
      <c r="H32" s="105"/>
      <c r="I32" s="105"/>
      <c r="J32" s="105"/>
      <c r="AA32">
        <f t="shared" si="33"/>
        <v>78.92903756178443</v>
      </c>
      <c r="AB32">
        <f t="shared" si="34"/>
        <v>70.95687014960602</v>
      </c>
      <c r="AC32" s="2">
        <f aca="true" t="shared" si="35" ref="AC32:AC39">$AC$30+1</f>
        <v>57.23271881956531</v>
      </c>
      <c r="AD32">
        <f t="shared" si="20"/>
        <v>66.07254993056665</v>
      </c>
      <c r="AE32">
        <f t="shared" si="3"/>
        <v>0.998899383269537</v>
      </c>
      <c r="AF32">
        <f t="shared" si="4"/>
        <v>1.1531835414767388</v>
      </c>
      <c r="AG32">
        <f t="shared" si="5"/>
        <v>3.218240490181971</v>
      </c>
      <c r="AH32">
        <f t="shared" si="6"/>
        <v>1</v>
      </c>
      <c r="AI32">
        <f t="shared" si="7"/>
        <v>5.946181283197368</v>
      </c>
      <c r="AJ32">
        <f t="shared" si="8"/>
        <v>2.465607524585725</v>
      </c>
      <c r="AK32">
        <f t="shared" si="9"/>
        <v>193.09442941091822</v>
      </c>
      <c r="AL32">
        <f t="shared" si="10"/>
        <v>77.4628740401671</v>
      </c>
      <c r="AM32">
        <f t="shared" si="11"/>
        <v>2.7462874040167087</v>
      </c>
      <c r="AN32">
        <f t="shared" si="12"/>
        <v>18.433594667144067</v>
      </c>
      <c r="AO32">
        <f t="shared" si="13"/>
        <v>187.5332988895106</v>
      </c>
      <c r="AP32">
        <f t="shared" si="14"/>
        <v>0.26823802350859105</v>
      </c>
      <c r="AQ32">
        <f t="shared" si="15"/>
        <v>70.95687014960602</v>
      </c>
      <c r="AR32">
        <f t="shared" si="16"/>
        <v>19.503355991359967</v>
      </c>
      <c r="AS32">
        <f t="shared" si="17"/>
        <v>73.58843874110774</v>
      </c>
      <c r="AT32">
        <f t="shared" si="18"/>
        <v>0.29435375496443095</v>
      </c>
      <c r="AW32" s="83">
        <f t="shared" si="23"/>
        <v>68.07254993056665</v>
      </c>
      <c r="AX32" s="84">
        <f t="shared" si="24"/>
        <v>70.91762724094254</v>
      </c>
      <c r="AY32" s="84">
        <f t="shared" si="25"/>
        <v>71.30491534411699</v>
      </c>
      <c r="AZ32" s="84">
        <f t="shared" si="26"/>
        <v>71.56728882621721</v>
      </c>
      <c r="BA32" s="84">
        <f t="shared" si="27"/>
        <v>71.71299187146347</v>
      </c>
      <c r="BB32" s="84">
        <f t="shared" si="28"/>
        <v>71.74946747361444</v>
      </c>
      <c r="BC32" s="84">
        <f t="shared" si="29"/>
        <v>71.68343809375057</v>
      </c>
      <c r="BD32" s="84">
        <f t="shared" si="30"/>
        <v>71.52097672923811</v>
      </c>
      <c r="BE32" s="84">
        <f t="shared" si="31"/>
        <v>71.2675696382911</v>
      </c>
      <c r="BF32" s="84">
        <f t="shared" si="32"/>
        <v>70.9281717849066</v>
      </c>
      <c r="BG32" s="84"/>
      <c r="BH32" s="84"/>
      <c r="BI32" s="84"/>
      <c r="BV32">
        <f>B</f>
        <v>2.5</v>
      </c>
      <c r="CD32">
        <f>yA</f>
        <v>1.6666666666666667</v>
      </c>
    </row>
    <row r="33" spans="4:82" ht="18" customHeight="1">
      <c r="D33" s="104"/>
      <c r="E33" s="105"/>
      <c r="F33" s="105"/>
      <c r="G33" s="105"/>
      <c r="H33" s="105"/>
      <c r="I33" s="105"/>
      <c r="J33" s="105"/>
      <c r="AA33">
        <f t="shared" si="33"/>
        <v>78.92903756178443</v>
      </c>
      <c r="AB33">
        <f t="shared" si="34"/>
        <v>71.15046426988053</v>
      </c>
      <c r="AC33" s="2">
        <f t="shared" si="35"/>
        <v>57.23271881956531</v>
      </c>
      <c r="AD33">
        <f t="shared" si="20"/>
        <v>67.07254993056665</v>
      </c>
      <c r="AE33">
        <f t="shared" si="3"/>
        <v>0.998899383269537</v>
      </c>
      <c r="AF33">
        <f t="shared" si="4"/>
        <v>1.1706368339966822</v>
      </c>
      <c r="AG33">
        <f t="shared" si="5"/>
        <v>3.218240490181971</v>
      </c>
      <c r="AH33">
        <f t="shared" si="6"/>
        <v>1</v>
      </c>
      <c r="AI33">
        <f t="shared" si="7"/>
        <v>5.946181283197368</v>
      </c>
      <c r="AJ33">
        <f t="shared" si="8"/>
        <v>2.566964137066278</v>
      </c>
      <c r="AK33">
        <f t="shared" si="9"/>
        <v>193.09442941091822</v>
      </c>
      <c r="AL33">
        <f t="shared" si="10"/>
        <v>76.35828923071678</v>
      </c>
      <c r="AM33">
        <f t="shared" si="11"/>
        <v>2.6358289230716783</v>
      </c>
      <c r="AN33">
        <f t="shared" si="12"/>
        <v>16.980579290568254</v>
      </c>
      <c r="AO33">
        <f t="shared" si="13"/>
        <v>188.0449525735604</v>
      </c>
      <c r="AP33">
        <f t="shared" si="14"/>
        <v>0.26134078697173346</v>
      </c>
      <c r="AQ33">
        <f t="shared" si="15"/>
        <v>71.15046426988053</v>
      </c>
      <c r="AR33">
        <f t="shared" si="16"/>
        <v>19.02974137060076</v>
      </c>
      <c r="AS33">
        <f t="shared" si="17"/>
        <v>73.65133822580212</v>
      </c>
      <c r="AT33">
        <f t="shared" si="18"/>
        <v>0.2946053529032085</v>
      </c>
      <c r="AW33" s="83">
        <f t="shared" si="23"/>
        <v>69.07254993056665</v>
      </c>
      <c r="AX33" s="84">
        <f t="shared" si="24"/>
        <v>71.02178752552007</v>
      </c>
      <c r="AY33" s="84">
        <f t="shared" si="25"/>
        <v>71.41808839088162</v>
      </c>
      <c r="AZ33" s="84">
        <f t="shared" si="26"/>
        <v>71.68787021565812</v>
      </c>
      <c r="BA33" s="84">
        <f t="shared" si="27"/>
        <v>71.83933381900756</v>
      </c>
      <c r="BB33" s="84">
        <f t="shared" si="28"/>
        <v>71.87988781517002</v>
      </c>
      <c r="BC33" s="84">
        <f t="shared" si="29"/>
        <v>71.816227456291</v>
      </c>
      <c r="BD33" s="84">
        <f t="shared" si="30"/>
        <v>71.65440417494382</v>
      </c>
      <c r="BE33" s="84">
        <f t="shared" si="31"/>
        <v>71.39988702192863</v>
      </c>
      <c r="BF33" s="84">
        <f t="shared" si="32"/>
        <v>71.05761702374764</v>
      </c>
      <c r="BG33" s="84"/>
      <c r="BH33" s="84"/>
      <c r="BI33" s="84"/>
      <c r="BV33">
        <f>B+PAH/scal</f>
        <v>2.86176387923772</v>
      </c>
      <c r="CD33">
        <f>yA+PAV/scal</f>
        <v>1.7569383982717934</v>
      </c>
    </row>
    <row r="34" spans="4:85" ht="18" customHeight="1">
      <c r="D34" s="104"/>
      <c r="E34" s="105"/>
      <c r="F34" s="105"/>
      <c r="G34" s="105"/>
      <c r="H34" s="105"/>
      <c r="I34" s="105"/>
      <c r="J34" s="105"/>
      <c r="AA34">
        <f t="shared" si="33"/>
        <v>78.92903756178443</v>
      </c>
      <c r="AB34">
        <f t="shared" si="34"/>
        <v>71.30491534411699</v>
      </c>
      <c r="AC34" s="2">
        <f t="shared" si="35"/>
        <v>57.23271881956531</v>
      </c>
      <c r="AD34">
        <f t="shared" si="20"/>
        <v>68.07254993056665</v>
      </c>
      <c r="AE34">
        <f t="shared" si="3"/>
        <v>0.998899383269537</v>
      </c>
      <c r="AF34">
        <f t="shared" si="4"/>
        <v>1.1880901265166253</v>
      </c>
      <c r="AG34">
        <f t="shared" si="5"/>
        <v>3.218240490181971</v>
      </c>
      <c r="AH34">
        <f t="shared" si="6"/>
        <v>1</v>
      </c>
      <c r="AI34">
        <f t="shared" si="7"/>
        <v>5.946181283197368</v>
      </c>
      <c r="AJ34">
        <f t="shared" si="8"/>
        <v>2.6778618385575714</v>
      </c>
      <c r="AK34">
        <f t="shared" si="9"/>
        <v>193.09442941091822</v>
      </c>
      <c r="AL34">
        <f t="shared" si="10"/>
        <v>75.1586151223348</v>
      </c>
      <c r="AM34">
        <f t="shared" si="11"/>
        <v>2.5158615122334793</v>
      </c>
      <c r="AN34">
        <f t="shared" si="12"/>
        <v>15.470043193580436</v>
      </c>
      <c r="AO34">
        <f t="shared" si="13"/>
        <v>188.45315433623009</v>
      </c>
      <c r="AP34">
        <f t="shared" si="14"/>
        <v>0.255846757396211</v>
      </c>
      <c r="AQ34">
        <f t="shared" si="15"/>
        <v>71.30491534411699</v>
      </c>
      <c r="AR34">
        <f t="shared" si="16"/>
        <v>18.651887503723856</v>
      </c>
      <c r="AS34">
        <f t="shared" si="17"/>
        <v>73.70402878868468</v>
      </c>
      <c r="AT34">
        <f t="shared" si="18"/>
        <v>0.2948161151547387</v>
      </c>
      <c r="AW34" s="83">
        <f t="shared" si="23"/>
        <v>70.07254993056665</v>
      </c>
      <c r="AX34" s="84">
        <f t="shared" si="24"/>
        <v>71.08347282903334</v>
      </c>
      <c r="AY34" s="84">
        <f t="shared" si="25"/>
        <v>71.48735392836535</v>
      </c>
      <c r="AZ34" s="84">
        <f t="shared" si="26"/>
        <v>71.76318960099579</v>
      </c>
      <c r="BA34" s="84">
        <f t="shared" si="27"/>
        <v>71.91913212958147</v>
      </c>
      <c r="BB34" s="84">
        <f t="shared" si="28"/>
        <v>71.96255055244069</v>
      </c>
      <c r="BC34" s="84">
        <f t="shared" si="29"/>
        <v>71.90010774282636</v>
      </c>
      <c r="BD34" s="84">
        <f t="shared" si="30"/>
        <v>71.73782846203486</v>
      </c>
      <c r="BE34" s="84">
        <f t="shared" si="31"/>
        <v>71.48115953615243</v>
      </c>
      <c r="BF34" s="84">
        <f t="shared" si="32"/>
        <v>71.1350231428817</v>
      </c>
      <c r="BG34" s="84"/>
      <c r="BH34" s="84"/>
      <c r="BI34" s="84"/>
      <c r="BV34" s="3">
        <f>bt+Hw*n+bo/2-0.05</f>
        <v>1.2</v>
      </c>
      <c r="BW34" s="3"/>
      <c r="BX34" s="3"/>
      <c r="BY34" s="3"/>
      <c r="BZ34" s="3"/>
      <c r="CA34" s="3"/>
      <c r="CB34" s="3"/>
      <c r="CC34" s="3"/>
      <c r="CD34" s="3"/>
      <c r="CE34" s="3">
        <f>H</f>
        <v>5</v>
      </c>
      <c r="CF34" s="3"/>
      <c r="CG34" s="3"/>
    </row>
    <row r="35" spans="4:85" ht="18" customHeight="1">
      <c r="D35" s="104"/>
      <c r="E35" s="105"/>
      <c r="F35" s="105"/>
      <c r="G35" s="105"/>
      <c r="H35" s="105"/>
      <c r="I35" s="105"/>
      <c r="J35" s="105"/>
      <c r="AA35">
        <f t="shared" si="33"/>
        <v>78.92903756178443</v>
      </c>
      <c r="AB35">
        <f t="shared" si="34"/>
        <v>71.41808839088162</v>
      </c>
      <c r="AC35" s="2">
        <f t="shared" si="35"/>
        <v>57.23271881956531</v>
      </c>
      <c r="AD35">
        <f>AD34+1</f>
        <v>69.07254993056665</v>
      </c>
      <c r="AE35">
        <f t="shared" si="3"/>
        <v>0.998899383269537</v>
      </c>
      <c r="AF35">
        <f t="shared" si="4"/>
        <v>1.2055434190365688</v>
      </c>
      <c r="AG35">
        <f t="shared" si="5"/>
        <v>3.218240490181971</v>
      </c>
      <c r="AH35">
        <f t="shared" si="6"/>
        <v>1</v>
      </c>
      <c r="AI35">
        <f t="shared" si="7"/>
        <v>5.946181283197368</v>
      </c>
      <c r="AJ35">
        <f t="shared" si="8"/>
        <v>2.7996654831610313</v>
      </c>
      <c r="AK35">
        <f t="shared" si="9"/>
        <v>193.09442941091822</v>
      </c>
      <c r="AL35">
        <f t="shared" si="10"/>
        <v>73.85018772992186</v>
      </c>
      <c r="AM35">
        <f t="shared" si="11"/>
        <v>2.3850187729921863</v>
      </c>
      <c r="AN35">
        <f t="shared" si="12"/>
        <v>13.902780538267843</v>
      </c>
      <c r="AO35">
        <f t="shared" si="13"/>
        <v>188.7522615933625</v>
      </c>
      <c r="AP35">
        <f t="shared" si="14"/>
        <v>0.25182611246539494</v>
      </c>
      <c r="AQ35">
        <f t="shared" si="15"/>
        <v>71.41808839088162</v>
      </c>
      <c r="AR35">
        <f t="shared" si="16"/>
        <v>18.37501747509077</v>
      </c>
      <c r="AS35">
        <f t="shared" si="17"/>
        <v>73.74404800807773</v>
      </c>
      <c r="AT35">
        <f t="shared" si="18"/>
        <v>0.2949761920323109</v>
      </c>
      <c r="AW35" s="83">
        <f t="shared" si="23"/>
        <v>71.07254993056665</v>
      </c>
      <c r="AX35" s="84">
        <f t="shared" si="24"/>
        <v>71.09964301006143</v>
      </c>
      <c r="AY35" s="84">
        <f t="shared" si="25"/>
        <v>71.50951831830254</v>
      </c>
      <c r="AZ35" s="84">
        <f t="shared" si="26"/>
        <v>71.78989722937843</v>
      </c>
      <c r="BA35" s="84">
        <f t="shared" si="27"/>
        <v>71.94887858628054</v>
      </c>
      <c r="BB35" s="84">
        <f t="shared" si="28"/>
        <v>71.99378690016782</v>
      </c>
      <c r="BC35" s="84">
        <f t="shared" si="29"/>
        <v>71.93124771643248</v>
      </c>
      <c r="BD35" s="84">
        <f t="shared" si="30"/>
        <v>71.76725421510422</v>
      </c>
      <c r="BE35" s="84">
        <f t="shared" si="31"/>
        <v>71.5072261524555</v>
      </c>
      <c r="BF35" s="84">
        <f t="shared" si="32"/>
        <v>71.15606209454342</v>
      </c>
      <c r="BG35" s="84"/>
      <c r="BH35" s="84"/>
      <c r="BI35" s="84"/>
      <c r="BV35" s="3">
        <f>BV34</f>
        <v>1.2</v>
      </c>
      <c r="BW35" s="3"/>
      <c r="BX35" s="3"/>
      <c r="BY35" s="3"/>
      <c r="BZ35" s="3"/>
      <c r="CA35" s="3"/>
      <c r="CB35" s="3"/>
      <c r="CC35" s="3"/>
      <c r="CD35" s="3"/>
      <c r="CE35" s="3">
        <f>IF(hp=0,H,H+hp+0.1)</f>
        <v>5</v>
      </c>
      <c r="CF35" s="3"/>
      <c r="CG35" s="3"/>
    </row>
    <row r="36" spans="4:85" ht="18" customHeight="1">
      <c r="D36" s="104"/>
      <c r="E36" s="105"/>
      <c r="F36" s="105"/>
      <c r="G36" s="105"/>
      <c r="H36" s="105"/>
      <c r="I36" s="105"/>
      <c r="J36" s="105"/>
      <c r="AA36">
        <f t="shared" si="33"/>
        <v>78.92903756178443</v>
      </c>
      <c r="AB36">
        <f t="shared" si="34"/>
        <v>71.48735392836535</v>
      </c>
      <c r="AC36" s="2">
        <f t="shared" si="35"/>
        <v>57.23271881956531</v>
      </c>
      <c r="AD36">
        <f t="shared" si="20"/>
        <v>70.07254993056665</v>
      </c>
      <c r="AE36">
        <f t="shared" si="3"/>
        <v>0.998899383269537</v>
      </c>
      <c r="AF36">
        <f t="shared" si="4"/>
        <v>1.222996711556512</v>
      </c>
      <c r="AG36">
        <f t="shared" si="5"/>
        <v>3.218240490181971</v>
      </c>
      <c r="AH36">
        <f t="shared" si="6"/>
        <v>1</v>
      </c>
      <c r="AI36">
        <f t="shared" si="7"/>
        <v>5.946181283197368</v>
      </c>
      <c r="AJ36">
        <f t="shared" si="8"/>
        <v>2.9340140450929098</v>
      </c>
      <c r="AK36">
        <f t="shared" si="9"/>
        <v>193.09442941091822</v>
      </c>
      <c r="AL36">
        <f t="shared" si="10"/>
        <v>72.41660206428065</v>
      </c>
      <c r="AM36">
        <f t="shared" si="11"/>
        <v>2.241660206428066</v>
      </c>
      <c r="AN36">
        <f t="shared" si="12"/>
        <v>12.281675779481244</v>
      </c>
      <c r="AO36">
        <f t="shared" si="13"/>
        <v>188.9353248360942</v>
      </c>
      <c r="AP36">
        <f t="shared" si="14"/>
        <v>0.24936752442832882</v>
      </c>
      <c r="AQ36">
        <f t="shared" si="15"/>
        <v>71.48735392836535</v>
      </c>
      <c r="AR36">
        <f t="shared" si="16"/>
        <v>18.20556413001745</v>
      </c>
      <c r="AS36">
        <f t="shared" si="17"/>
        <v>73.7691286174071</v>
      </c>
      <c r="AT36">
        <f t="shared" si="18"/>
        <v>0.2950765144696284</v>
      </c>
      <c r="AW36" s="83">
        <f t="shared" si="23"/>
        <v>72.07254993056665</v>
      </c>
      <c r="AX36" s="84">
        <f t="shared" si="24"/>
        <v>71.06663765896901</v>
      </c>
      <c r="AY36" s="84">
        <f t="shared" si="25"/>
        <v>71.48074359154867</v>
      </c>
      <c r="AZ36" s="84">
        <f t="shared" si="26"/>
        <v>71.7639752442396</v>
      </c>
      <c r="BA36" s="84">
        <f t="shared" si="27"/>
        <v>71.92437333649889</v>
      </c>
      <c r="BB36" s="84">
        <f t="shared" si="28"/>
        <v>71.96921310110993</v>
      </c>
      <c r="BC36" s="84">
        <f t="shared" si="29"/>
        <v>71.90507798603136</v>
      </c>
      <c r="BD36" s="84">
        <f t="shared" si="30"/>
        <v>71.73792483817833</v>
      </c>
      <c r="BE36" s="84">
        <f t="shared" si="31"/>
        <v>71.47314163568426</v>
      </c>
      <c r="BF36" s="84">
        <f t="shared" si="32"/>
        <v>71.11559868576191</v>
      </c>
      <c r="BG36" s="84"/>
      <c r="BH36" s="84"/>
      <c r="BI36" s="84"/>
      <c r="BV36" s="3">
        <f>BV35+0.1</f>
        <v>1.3</v>
      </c>
      <c r="BW36" s="48"/>
      <c r="BX36" s="48"/>
      <c r="BY36" s="48"/>
      <c r="BZ36" s="48"/>
      <c r="CA36" s="48"/>
      <c r="CB36" s="48"/>
      <c r="CC36" s="48"/>
      <c r="CD36" s="48"/>
      <c r="CE36" s="3">
        <f>CE35</f>
        <v>5</v>
      </c>
      <c r="CF36" s="3"/>
      <c r="CG36" s="3"/>
    </row>
    <row r="37" spans="4:85" ht="18" customHeight="1">
      <c r="D37" s="104"/>
      <c r="E37" s="105"/>
      <c r="F37" s="105"/>
      <c r="G37" s="105"/>
      <c r="H37" s="105"/>
      <c r="I37" s="105"/>
      <c r="J37" s="105"/>
      <c r="AA37">
        <f t="shared" si="33"/>
        <v>78.92903756178443</v>
      </c>
      <c r="AB37">
        <f t="shared" si="34"/>
        <v>71.50951831830254</v>
      </c>
      <c r="AC37" s="2">
        <f t="shared" si="35"/>
        <v>57.23271881956531</v>
      </c>
      <c r="AD37">
        <f t="shared" si="20"/>
        <v>71.07254993056665</v>
      </c>
      <c r="AE37">
        <f t="shared" si="3"/>
        <v>0.998899383269537</v>
      </c>
      <c r="AF37">
        <f t="shared" si="4"/>
        <v>1.2404500040764552</v>
      </c>
      <c r="AG37">
        <f t="shared" si="5"/>
        <v>3.218240490181971</v>
      </c>
      <c r="AH37">
        <f t="shared" si="6"/>
        <v>1</v>
      </c>
      <c r="AI37">
        <f t="shared" si="7"/>
        <v>5.946181283197368</v>
      </c>
      <c r="AJ37">
        <f t="shared" si="8"/>
        <v>3.082893028967365</v>
      </c>
      <c r="AK37">
        <f t="shared" si="9"/>
        <v>193.09442941091822</v>
      </c>
      <c r="AL37">
        <f t="shared" si="10"/>
        <v>70.83798801856159</v>
      </c>
      <c r="AM37">
        <f t="shared" si="11"/>
        <v>2.083798801856159</v>
      </c>
      <c r="AN37">
        <f t="shared" si="12"/>
        <v>10.612791487774041</v>
      </c>
      <c r="AO37">
        <f t="shared" si="13"/>
        <v>188.9939035354369</v>
      </c>
      <c r="AP37">
        <f t="shared" si="14"/>
        <v>0.24858115166122424</v>
      </c>
      <c r="AQ37">
        <f t="shared" si="15"/>
        <v>71.50951831830254</v>
      </c>
      <c r="AR37">
        <f t="shared" si="16"/>
        <v>18.151340483557675</v>
      </c>
      <c r="AS37">
        <f t="shared" si="17"/>
        <v>73.77724833216325</v>
      </c>
      <c r="AT37">
        <f t="shared" si="18"/>
        <v>0.295108993328653</v>
      </c>
      <c r="AW37" s="89">
        <f t="shared" si="23"/>
        <v>73.07254993056665</v>
      </c>
      <c r="AX37" s="84">
        <f t="shared" si="24"/>
        <v>70.98009195335833</v>
      </c>
      <c r="AY37" s="84">
        <f t="shared" si="25"/>
        <v>71.39645916083897</v>
      </c>
      <c r="AZ37" s="84">
        <f t="shared" si="26"/>
        <v>71.6806452388361</v>
      </c>
      <c r="BA37" s="84">
        <f t="shared" si="27"/>
        <v>71.84062827112399</v>
      </c>
      <c r="BB37" s="84">
        <f t="shared" si="28"/>
        <v>71.88362961663846</v>
      </c>
      <c r="BC37" s="84">
        <f t="shared" si="29"/>
        <v>71.81618599451883</v>
      </c>
      <c r="BD37" s="84">
        <f t="shared" si="30"/>
        <v>71.644213286464</v>
      </c>
      <c r="BE37" s="84">
        <f t="shared" si="31"/>
        <v>71.37306308506551</v>
      </c>
      <c r="BF37" s="84">
        <f t="shared" si="32"/>
        <v>71.00757287356143</v>
      </c>
      <c r="BG37" s="84"/>
      <c r="BH37" s="84"/>
      <c r="BI37" s="84"/>
      <c r="BV37" s="3">
        <f>BV36</f>
        <v>1.3</v>
      </c>
      <c r="BW37" s="48"/>
      <c r="BX37" s="48"/>
      <c r="BY37" s="48"/>
      <c r="BZ37" s="48"/>
      <c r="CA37" s="48"/>
      <c r="CB37" s="48"/>
      <c r="CC37" s="48"/>
      <c r="CD37" s="48"/>
      <c r="CE37" s="3">
        <f>H</f>
        <v>5</v>
      </c>
      <c r="CF37" s="3"/>
      <c r="CG37" s="3"/>
    </row>
    <row r="38" spans="4:85" ht="18" customHeight="1">
      <c r="D38" s="104"/>
      <c r="E38" s="105"/>
      <c r="F38" s="105"/>
      <c r="G38" s="105"/>
      <c r="H38" s="105"/>
      <c r="I38" s="105"/>
      <c r="J38" s="105"/>
      <c r="AA38">
        <f t="shared" si="33"/>
        <v>78.92903756178443</v>
      </c>
      <c r="AB38">
        <f t="shared" si="34"/>
        <v>71.48074359154867</v>
      </c>
      <c r="AC38" s="2">
        <f t="shared" si="35"/>
        <v>57.23271881956531</v>
      </c>
      <c r="AD38">
        <f t="shared" si="20"/>
        <v>72.07254993056665</v>
      </c>
      <c r="AE38">
        <f t="shared" si="3"/>
        <v>0.998899383269537</v>
      </c>
      <c r="AF38">
        <f t="shared" si="4"/>
        <v>1.2579032965963985</v>
      </c>
      <c r="AG38">
        <f t="shared" si="5"/>
        <v>3.218240490181971</v>
      </c>
      <c r="AH38">
        <f t="shared" si="6"/>
        <v>1</v>
      </c>
      <c r="AI38">
        <f t="shared" si="7"/>
        <v>5.946181283197368</v>
      </c>
      <c r="AJ38">
        <f t="shared" si="8"/>
        <v>3.2487311147086606</v>
      </c>
      <c r="AK38">
        <f t="shared" si="9"/>
        <v>193.09442941091822</v>
      </c>
      <c r="AL38">
        <f t="shared" si="10"/>
        <v>69.09004390867536</v>
      </c>
      <c r="AM38">
        <f t="shared" si="11"/>
        <v>1.9090043908675352</v>
      </c>
      <c r="AN38">
        <f t="shared" si="12"/>
        <v>8.90700955627057</v>
      </c>
      <c r="AO38">
        <f t="shared" si="13"/>
        <v>188.9178542477299</v>
      </c>
      <c r="AP38">
        <f t="shared" si="14"/>
        <v>0.24960208674136386</v>
      </c>
      <c r="AQ38">
        <f t="shared" si="15"/>
        <v>71.48074359154867</v>
      </c>
      <c r="AR38">
        <f t="shared" si="16"/>
        <v>18.221735861679974</v>
      </c>
      <c r="AS38">
        <f t="shared" si="17"/>
        <v>73.7667158155598</v>
      </c>
      <c r="AT38">
        <f t="shared" si="18"/>
        <v>0.2950668632622392</v>
      </c>
      <c r="BV38" s="3">
        <f>BV37</f>
        <v>1.3</v>
      </c>
      <c r="BW38" s="48"/>
      <c r="BX38" s="48"/>
      <c r="BY38" s="48"/>
      <c r="BZ38" s="48"/>
      <c r="CA38" s="48"/>
      <c r="CB38" s="48"/>
      <c r="CC38" s="48"/>
      <c r="CD38" s="48"/>
      <c r="CE38" s="3"/>
      <c r="CF38" s="3">
        <f>IF(hp=0,H,CF39+0.05)</f>
        <v>5</v>
      </c>
      <c r="CG38" s="3"/>
    </row>
    <row r="39" spans="4:85" ht="18" customHeight="1">
      <c r="D39" s="104"/>
      <c r="E39" s="105"/>
      <c r="F39" s="105"/>
      <c r="G39" s="105"/>
      <c r="H39" s="105"/>
      <c r="I39" s="105"/>
      <c r="J39" s="105"/>
      <c r="AA39">
        <f t="shared" si="33"/>
        <v>78.92903756178443</v>
      </c>
      <c r="AB39">
        <f t="shared" si="34"/>
        <v>71.39645916083897</v>
      </c>
      <c r="AC39" s="2">
        <f t="shared" si="35"/>
        <v>57.23271881956531</v>
      </c>
      <c r="AD39">
        <f t="shared" si="20"/>
        <v>73.07254993056665</v>
      </c>
      <c r="AE39">
        <f t="shared" si="3"/>
        <v>0.998899383269537</v>
      </c>
      <c r="AF39">
        <f t="shared" si="4"/>
        <v>1.2753565891163419</v>
      </c>
      <c r="AG39">
        <f t="shared" si="5"/>
        <v>3.218240490181971</v>
      </c>
      <c r="AH39">
        <f t="shared" si="6"/>
        <v>1</v>
      </c>
      <c r="AI39">
        <f t="shared" si="7"/>
        <v>5.946181283197368</v>
      </c>
      <c r="AJ39">
        <f t="shared" si="8"/>
        <v>3.4345310588205837</v>
      </c>
      <c r="AK39">
        <f t="shared" si="9"/>
        <v>193.09442941091822</v>
      </c>
      <c r="AL39">
        <f t="shared" si="10"/>
        <v>67.14272745037525</v>
      </c>
      <c r="AM39">
        <f t="shared" si="11"/>
        <v>1.7142727450375252</v>
      </c>
      <c r="AN39">
        <f t="shared" si="12"/>
        <v>7.182537538955983</v>
      </c>
      <c r="AO39">
        <f t="shared" si="13"/>
        <v>188.69509727856413</v>
      </c>
      <c r="AP39">
        <f t="shared" si="14"/>
        <v>0.2525941854462392</v>
      </c>
      <c r="AQ39">
        <f t="shared" si="15"/>
        <v>71.39645916083897</v>
      </c>
      <c r="AR39">
        <f t="shared" si="16"/>
        <v>18.42793188989552</v>
      </c>
      <c r="AS39">
        <f t="shared" si="17"/>
        <v>73.73630757261971</v>
      </c>
      <c r="AT39">
        <f t="shared" si="18"/>
        <v>0.2949452302904788</v>
      </c>
      <c r="BV39" s="3">
        <f>BV38+0.1</f>
        <v>1.4000000000000001</v>
      </c>
      <c r="BW39" s="23"/>
      <c r="BX39" s="23"/>
      <c r="BY39" s="23"/>
      <c r="BZ39" s="23"/>
      <c r="CA39" s="23"/>
      <c r="CB39" s="23"/>
      <c r="CC39" s="23"/>
      <c r="CD39" s="23"/>
      <c r="CE39" s="3"/>
      <c r="CF39" s="3">
        <f>IF(hp=0,H,CF40+0.15)</f>
        <v>5</v>
      </c>
      <c r="CG39" s="3"/>
    </row>
    <row r="40" spans="4:85" ht="18" customHeight="1">
      <c r="D40" s="104"/>
      <c r="E40" s="105"/>
      <c r="F40" s="105"/>
      <c r="G40" s="105"/>
      <c r="H40" s="105"/>
      <c r="I40" s="105"/>
      <c r="J40" s="105"/>
      <c r="AA40">
        <f t="shared" si="33"/>
        <v>79.74706528642152</v>
      </c>
      <c r="AB40">
        <f t="shared" si="34"/>
        <v>70.95913422642069</v>
      </c>
      <c r="AC40" s="2">
        <f>$AC$39+1</f>
        <v>58.23271881956531</v>
      </c>
      <c r="AD40">
        <f>AD31</f>
        <v>65.07254993056665</v>
      </c>
      <c r="AE40">
        <f t="shared" si="3"/>
        <v>1.0163526757894803</v>
      </c>
      <c r="AF40">
        <f t="shared" si="4"/>
        <v>1.1357302489567955</v>
      </c>
      <c r="AG40">
        <f t="shared" si="5"/>
        <v>3.096179834827804</v>
      </c>
      <c r="AH40">
        <f t="shared" si="6"/>
        <v>1</v>
      </c>
      <c r="AI40">
        <f t="shared" si="7"/>
        <v>5.881014331694349</v>
      </c>
      <c r="AJ40">
        <f t="shared" si="8"/>
        <v>2.372646286034325</v>
      </c>
      <c r="AK40">
        <f t="shared" si="9"/>
        <v>185.77079008966825</v>
      </c>
      <c r="AL40">
        <f t="shared" si="10"/>
        <v>78.48384235363461</v>
      </c>
      <c r="AM40">
        <f t="shared" si="11"/>
        <v>2.8483842353634614</v>
      </c>
      <c r="AN40">
        <f t="shared" si="12"/>
        <v>19.8296573853434</v>
      </c>
      <c r="AO40">
        <f t="shared" si="13"/>
        <v>179.88623850870758</v>
      </c>
      <c r="AP40">
        <f t="shared" si="14"/>
        <v>0.2808703085511308</v>
      </c>
      <c r="AQ40">
        <f t="shared" si="15"/>
        <v>70.95913422642069</v>
      </c>
      <c r="AR40">
        <f t="shared" si="16"/>
        <v>20.471485570113657</v>
      </c>
      <c r="AS40">
        <f t="shared" si="17"/>
        <v>73.85310048745794</v>
      </c>
      <c r="AT40">
        <f t="shared" si="18"/>
        <v>0.29541240194983176</v>
      </c>
      <c r="BV40" s="3">
        <f>BV39</f>
        <v>1.4000000000000001</v>
      </c>
      <c r="BW40" s="23"/>
      <c r="BX40" s="23"/>
      <c r="BY40" s="23"/>
      <c r="BZ40" s="23"/>
      <c r="CA40" s="23"/>
      <c r="CB40" s="23"/>
      <c r="CC40" s="23"/>
      <c r="CD40" s="23"/>
      <c r="CE40" s="3"/>
      <c r="CF40" s="3">
        <f>IF(hp=0,H,CF41+0.1)</f>
        <v>5</v>
      </c>
      <c r="CG40" s="3"/>
    </row>
    <row r="41" spans="4:85" ht="18" customHeight="1">
      <c r="D41" s="104"/>
      <c r="E41" s="105"/>
      <c r="F41" s="105"/>
      <c r="G41" s="105"/>
      <c r="H41" s="105"/>
      <c r="I41" s="105"/>
      <c r="J41" s="105"/>
      <c r="AA41">
        <f t="shared" si="33"/>
        <v>79.74706528642152</v>
      </c>
      <c r="AB41">
        <f t="shared" si="34"/>
        <v>71.20089116466373</v>
      </c>
      <c r="AC41" s="2">
        <f>AC40</f>
        <v>58.23271881956531</v>
      </c>
      <c r="AD41">
        <f>AD40+1</f>
        <v>66.07254993056665</v>
      </c>
      <c r="AE41">
        <f t="shared" si="3"/>
        <v>1.0163526757894803</v>
      </c>
      <c r="AF41">
        <f t="shared" si="4"/>
        <v>1.1531835414767388</v>
      </c>
      <c r="AG41">
        <f t="shared" si="5"/>
        <v>3.096179834827804</v>
      </c>
      <c r="AH41">
        <f t="shared" si="6"/>
        <v>1</v>
      </c>
      <c r="AI41">
        <f t="shared" si="7"/>
        <v>5.881014331694349</v>
      </c>
      <c r="AJ41">
        <f t="shared" si="8"/>
        <v>2.465607524585725</v>
      </c>
      <c r="AK41">
        <f t="shared" si="9"/>
        <v>185.77079008966825</v>
      </c>
      <c r="AL41">
        <f t="shared" si="10"/>
        <v>77.4628740401671</v>
      </c>
      <c r="AM41">
        <f t="shared" si="11"/>
        <v>2.7462874040167087</v>
      </c>
      <c r="AN41">
        <f t="shared" si="12"/>
        <v>18.433594667144067</v>
      </c>
      <c r="AO41">
        <f t="shared" si="13"/>
        <v>180.4991088139618</v>
      </c>
      <c r="AP41">
        <f t="shared" si="14"/>
        <v>0.272644825947495</v>
      </c>
      <c r="AQ41">
        <f t="shared" si="15"/>
        <v>71.20089116466373</v>
      </c>
      <c r="AR41">
        <f t="shared" si="16"/>
        <v>19.908312777914176</v>
      </c>
      <c r="AS41">
        <f t="shared" si="17"/>
        <v>73.93177814922045</v>
      </c>
      <c r="AT41">
        <f t="shared" si="18"/>
        <v>0.2957271125968818</v>
      </c>
      <c r="BV41" s="3">
        <f>BV38</f>
        <v>1.3</v>
      </c>
      <c r="BW41" s="23"/>
      <c r="BX41" s="23"/>
      <c r="BY41" s="23"/>
      <c r="BZ41" s="23"/>
      <c r="CA41" s="23"/>
      <c r="CB41" s="23"/>
      <c r="CC41" s="23"/>
      <c r="CD41" s="23"/>
      <c r="CE41" s="3"/>
      <c r="CF41" s="3">
        <f>IF(hp=0,H,H+hp)</f>
        <v>5</v>
      </c>
      <c r="CG41" s="3"/>
    </row>
    <row r="42" spans="4:85" ht="18" customHeight="1">
      <c r="D42" s="104"/>
      <c r="E42" s="105"/>
      <c r="F42" s="105"/>
      <c r="G42" s="105"/>
      <c r="H42" s="105"/>
      <c r="I42" s="105"/>
      <c r="AA42">
        <f t="shared" si="33"/>
        <v>79.74706528642152</v>
      </c>
      <c r="AB42">
        <f t="shared" si="34"/>
        <v>71.40421101597981</v>
      </c>
      <c r="AC42" s="2">
        <f aca="true" t="shared" si="36" ref="AC42:AC57">AC41</f>
        <v>58.23271881956531</v>
      </c>
      <c r="AD42">
        <f t="shared" si="20"/>
        <v>67.07254993056665</v>
      </c>
      <c r="AE42">
        <f t="shared" si="3"/>
        <v>1.0163526757894803</v>
      </c>
      <c r="AF42">
        <f t="shared" si="4"/>
        <v>1.1706368339966822</v>
      </c>
      <c r="AG42">
        <f t="shared" si="5"/>
        <v>3.096179834827804</v>
      </c>
      <c r="AH42">
        <f t="shared" si="6"/>
        <v>1</v>
      </c>
      <c r="AI42">
        <f t="shared" si="7"/>
        <v>5.881014331694349</v>
      </c>
      <c r="AJ42">
        <f t="shared" si="8"/>
        <v>2.566964137066278</v>
      </c>
      <c r="AK42">
        <f t="shared" si="9"/>
        <v>185.77079008966825</v>
      </c>
      <c r="AL42">
        <f t="shared" si="10"/>
        <v>76.35828923071678</v>
      </c>
      <c r="AM42">
        <f t="shared" si="11"/>
        <v>2.6358289230716783</v>
      </c>
      <c r="AN42">
        <f t="shared" si="12"/>
        <v>16.980579290568254</v>
      </c>
      <c r="AO42">
        <f t="shared" si="13"/>
        <v>181.01453848578808</v>
      </c>
      <c r="AP42">
        <f t="shared" si="14"/>
        <v>0.2657410425230107</v>
      </c>
      <c r="AQ42">
        <f t="shared" si="15"/>
        <v>71.40421101597981</v>
      </c>
      <c r="AR42">
        <f t="shared" si="16"/>
        <v>19.434679180436376</v>
      </c>
      <c r="AS42">
        <f t="shared" si="17"/>
        <v>74.00181150256431</v>
      </c>
      <c r="AT42">
        <f t="shared" si="18"/>
        <v>0.29600724601025724</v>
      </c>
      <c r="BV42" s="3">
        <f>BV40</f>
        <v>1.4000000000000001</v>
      </c>
      <c r="BW42" s="23"/>
      <c r="BX42" s="23"/>
      <c r="BY42" s="23"/>
      <c r="BZ42" s="23"/>
      <c r="CA42" s="23"/>
      <c r="CB42" s="23"/>
      <c r="CC42" s="23"/>
      <c r="CD42" s="23"/>
      <c r="CE42" s="3"/>
      <c r="CF42" s="3">
        <f>IF(hp=0,H,CF41-0.1)</f>
        <v>5</v>
      </c>
      <c r="CG42" s="3"/>
    </row>
    <row r="43" spans="4:85" ht="18" customHeight="1">
      <c r="D43" s="104"/>
      <c r="E43" s="105"/>
      <c r="F43" s="105"/>
      <c r="G43" s="105"/>
      <c r="H43" s="105"/>
      <c r="I43" s="105"/>
      <c r="AA43">
        <f t="shared" si="33"/>
        <v>79.74706528642152</v>
      </c>
      <c r="AB43">
        <f t="shared" si="34"/>
        <v>71.56728882621721</v>
      </c>
      <c r="AC43" s="2">
        <f t="shared" si="36"/>
        <v>58.23271881956531</v>
      </c>
      <c r="AD43">
        <f t="shared" si="20"/>
        <v>68.07254993056665</v>
      </c>
      <c r="AE43">
        <f t="shared" si="3"/>
        <v>1.0163526757894803</v>
      </c>
      <c r="AF43">
        <f t="shared" si="4"/>
        <v>1.1880901265166253</v>
      </c>
      <c r="AG43">
        <f t="shared" si="5"/>
        <v>3.096179834827804</v>
      </c>
      <c r="AH43">
        <f t="shared" si="6"/>
        <v>1</v>
      </c>
      <c r="AI43">
        <f t="shared" si="7"/>
        <v>5.881014331694349</v>
      </c>
      <c r="AJ43">
        <f t="shared" si="8"/>
        <v>2.6778618385575714</v>
      </c>
      <c r="AK43">
        <f t="shared" si="9"/>
        <v>185.77079008966825</v>
      </c>
      <c r="AL43">
        <f t="shared" si="10"/>
        <v>75.1586151223348</v>
      </c>
      <c r="AM43">
        <f t="shared" si="11"/>
        <v>2.5158615122334793</v>
      </c>
      <c r="AN43">
        <f t="shared" si="12"/>
        <v>15.470043193580436</v>
      </c>
      <c r="AO43">
        <f t="shared" si="13"/>
        <v>181.42795184247075</v>
      </c>
      <c r="AP43">
        <f t="shared" si="14"/>
        <v>0.26021333119087</v>
      </c>
      <c r="AQ43">
        <f t="shared" si="15"/>
        <v>71.56728882621721</v>
      </c>
      <c r="AR43">
        <f t="shared" si="16"/>
        <v>19.054789418410877</v>
      </c>
      <c r="AS43">
        <f t="shared" si="17"/>
        <v>74.06052814904291</v>
      </c>
      <c r="AT43">
        <f t="shared" si="18"/>
        <v>0.2962421125961716</v>
      </c>
      <c r="BV43" s="3">
        <f>BV42</f>
        <v>1.4000000000000001</v>
      </c>
      <c r="BW43" s="23"/>
      <c r="BX43" s="23"/>
      <c r="BY43" s="23"/>
      <c r="BZ43" s="23"/>
      <c r="CA43" s="23"/>
      <c r="CB43" s="23"/>
      <c r="CC43" s="23"/>
      <c r="CD43" s="23"/>
      <c r="CE43" s="3"/>
      <c r="CF43" s="3">
        <f>IF(hp=0,H,CF42-0.15)</f>
        <v>5</v>
      </c>
      <c r="CG43" s="3"/>
    </row>
    <row r="44" spans="4:85" ht="18" customHeight="1">
      <c r="D44" s="1"/>
      <c r="AA44">
        <f t="shared" si="33"/>
        <v>79.74706528642152</v>
      </c>
      <c r="AB44">
        <f t="shared" si="34"/>
        <v>71.68787021565812</v>
      </c>
      <c r="AC44" s="2">
        <f t="shared" si="36"/>
        <v>58.23271881956531</v>
      </c>
      <c r="AD44">
        <f t="shared" si="20"/>
        <v>69.07254993056665</v>
      </c>
      <c r="AE44">
        <f t="shared" si="3"/>
        <v>1.0163526757894803</v>
      </c>
      <c r="AF44">
        <f t="shared" si="4"/>
        <v>1.2055434190365688</v>
      </c>
      <c r="AG44">
        <f t="shared" si="5"/>
        <v>3.096179834827804</v>
      </c>
      <c r="AH44">
        <f t="shared" si="6"/>
        <v>1</v>
      </c>
      <c r="AI44">
        <f t="shared" si="7"/>
        <v>5.881014331694349</v>
      </c>
      <c r="AJ44">
        <f t="shared" si="8"/>
        <v>2.7996654831610313</v>
      </c>
      <c r="AK44">
        <f t="shared" si="9"/>
        <v>185.77079008966825</v>
      </c>
      <c r="AL44">
        <f t="shared" si="10"/>
        <v>73.85018772992186</v>
      </c>
      <c r="AM44">
        <f t="shared" si="11"/>
        <v>2.3850187729921863</v>
      </c>
      <c r="AN44">
        <f t="shared" si="12"/>
        <v>13.902780538267843</v>
      </c>
      <c r="AO44">
        <f t="shared" si="13"/>
        <v>181.73363387787253</v>
      </c>
      <c r="AP44">
        <f t="shared" si="14"/>
        <v>0.25613180794335993</v>
      </c>
      <c r="AQ44">
        <f t="shared" si="15"/>
        <v>71.68787021565812</v>
      </c>
      <c r="AR44">
        <f t="shared" si="16"/>
        <v>18.773895069432683</v>
      </c>
      <c r="AS44">
        <f t="shared" si="17"/>
        <v>74.10539705132894</v>
      </c>
      <c r="AT44">
        <f t="shared" si="18"/>
        <v>0.2964215882053157</v>
      </c>
      <c r="AW44" s="1"/>
      <c r="BV44" s="3">
        <f>BV41</f>
        <v>1.3</v>
      </c>
      <c r="BW44" s="23"/>
      <c r="BX44" s="23"/>
      <c r="BY44" s="23"/>
      <c r="BZ44" s="23"/>
      <c r="CA44" s="23"/>
      <c r="CB44" s="23"/>
      <c r="CC44" s="23"/>
      <c r="CD44" s="23"/>
      <c r="CE44" s="3"/>
      <c r="CF44" s="3">
        <f>IF(hp=0,H,CF43-0.05)</f>
        <v>5</v>
      </c>
      <c r="CG44" s="3"/>
    </row>
    <row r="45" spans="4:85" ht="18" customHeight="1">
      <c r="D45" s="1"/>
      <c r="AA45">
        <f t="shared" si="33"/>
        <v>79.74706528642152</v>
      </c>
      <c r="AB45">
        <f t="shared" si="34"/>
        <v>71.76318960099579</v>
      </c>
      <c r="AC45" s="2">
        <f>AC44</f>
        <v>58.23271881956531</v>
      </c>
      <c r="AD45">
        <f>AD44+1</f>
        <v>70.07254993056665</v>
      </c>
      <c r="AE45">
        <f t="shared" si="3"/>
        <v>1.0163526757894803</v>
      </c>
      <c r="AF45">
        <f t="shared" si="4"/>
        <v>1.222996711556512</v>
      </c>
      <c r="AG45">
        <f t="shared" si="5"/>
        <v>3.096179834827804</v>
      </c>
      <c r="AH45">
        <f t="shared" si="6"/>
        <v>1</v>
      </c>
      <c r="AI45">
        <f t="shared" si="7"/>
        <v>5.881014331694349</v>
      </c>
      <c r="AJ45">
        <f t="shared" si="8"/>
        <v>2.9340140450929098</v>
      </c>
      <c r="AK45">
        <f t="shared" si="9"/>
        <v>185.77079008966825</v>
      </c>
      <c r="AL45">
        <f t="shared" si="10"/>
        <v>72.41660206428065</v>
      </c>
      <c r="AM45">
        <f t="shared" si="11"/>
        <v>2.241660206428066</v>
      </c>
      <c r="AN45">
        <f t="shared" si="12"/>
        <v>12.281675779481244</v>
      </c>
      <c r="AO45">
        <f t="shared" si="13"/>
        <v>181.92457364993834</v>
      </c>
      <c r="AP45">
        <f t="shared" si="14"/>
        <v>0.2535848773944293</v>
      </c>
      <c r="AQ45">
        <f t="shared" si="15"/>
        <v>71.76318960099579</v>
      </c>
      <c r="AR45">
        <f t="shared" si="16"/>
        <v>18.59843855986722</v>
      </c>
      <c r="AS45">
        <f t="shared" si="17"/>
        <v>74.13404952229189</v>
      </c>
      <c r="AT45">
        <f t="shared" si="18"/>
        <v>0.29653619808916754</v>
      </c>
      <c r="AW45" s="2"/>
      <c r="BV45" s="3">
        <f>BV41</f>
        <v>1.3</v>
      </c>
      <c r="BW45" s="23"/>
      <c r="BX45" s="23"/>
      <c r="BY45" s="23"/>
      <c r="BZ45" s="23"/>
      <c r="CA45" s="23"/>
      <c r="CB45" s="23"/>
      <c r="CC45" s="23"/>
      <c r="CD45" s="23"/>
      <c r="CE45" s="3"/>
      <c r="CF45" s="3"/>
      <c r="CG45" s="3">
        <f>H+hp</f>
        <v>5</v>
      </c>
    </row>
    <row r="46" spans="4:85" ht="18" customHeight="1">
      <c r="D46" s="1"/>
      <c r="AA46">
        <f t="shared" si="33"/>
        <v>79.74706528642152</v>
      </c>
      <c r="AB46">
        <f t="shared" si="34"/>
        <v>71.78989722937843</v>
      </c>
      <c r="AC46" s="2">
        <f t="shared" si="36"/>
        <v>58.23271881956531</v>
      </c>
      <c r="AD46">
        <f t="shared" si="20"/>
        <v>71.07254993056665</v>
      </c>
      <c r="AE46">
        <f t="shared" si="3"/>
        <v>1.0163526757894803</v>
      </c>
      <c r="AF46">
        <f t="shared" si="4"/>
        <v>1.2404500040764552</v>
      </c>
      <c r="AG46">
        <f t="shared" si="5"/>
        <v>3.096179834827804</v>
      </c>
      <c r="AH46">
        <f t="shared" si="6"/>
        <v>1</v>
      </c>
      <c r="AI46">
        <f t="shared" si="7"/>
        <v>5.881014331694349</v>
      </c>
      <c r="AJ46">
        <f t="shared" si="8"/>
        <v>3.082893028967365</v>
      </c>
      <c r="AK46">
        <f t="shared" si="9"/>
        <v>185.77079008966825</v>
      </c>
      <c r="AL46">
        <f t="shared" si="10"/>
        <v>70.83798801856159</v>
      </c>
      <c r="AM46">
        <f t="shared" si="11"/>
        <v>2.083798801856159</v>
      </c>
      <c r="AN46">
        <f t="shared" si="12"/>
        <v>10.612791487774041</v>
      </c>
      <c r="AO46">
        <f t="shared" si="13"/>
        <v>181.992279307027</v>
      </c>
      <c r="AP46">
        <f t="shared" si="14"/>
        <v>0.2526822319951</v>
      </c>
      <c r="AQ46">
        <f t="shared" si="15"/>
        <v>71.78989722937843</v>
      </c>
      <c r="AR46">
        <f t="shared" si="16"/>
        <v>18.53622313904583</v>
      </c>
      <c r="AS46">
        <f t="shared" si="17"/>
        <v>74.14432488373748</v>
      </c>
      <c r="AT46">
        <f t="shared" si="18"/>
        <v>0.29657729953494993</v>
      </c>
      <c r="AW46" s="2"/>
      <c r="BV46" s="3">
        <f>BV42+P/scal</f>
        <v>1.4000000000000001</v>
      </c>
      <c r="BW46" s="23"/>
      <c r="BX46" s="23"/>
      <c r="BY46" s="23"/>
      <c r="BZ46" s="23"/>
      <c r="CA46" s="23"/>
      <c r="CB46" s="23"/>
      <c r="CC46" s="23"/>
      <c r="CD46" s="23"/>
      <c r="CE46" s="3"/>
      <c r="CF46" s="3"/>
      <c r="CG46" s="3">
        <f>CG45</f>
        <v>5</v>
      </c>
    </row>
    <row r="47" spans="4:86" ht="18" customHeight="1">
      <c r="D47" s="1"/>
      <c r="AA47">
        <f t="shared" si="33"/>
        <v>79.74706528642152</v>
      </c>
      <c r="AB47">
        <f t="shared" si="34"/>
        <v>71.7639752442396</v>
      </c>
      <c r="AC47" s="2">
        <f t="shared" si="36"/>
        <v>58.23271881956531</v>
      </c>
      <c r="AD47">
        <f t="shared" si="20"/>
        <v>72.07254993056665</v>
      </c>
      <c r="AE47">
        <f t="shared" si="3"/>
        <v>1.0163526757894803</v>
      </c>
      <c r="AF47">
        <f t="shared" si="4"/>
        <v>1.2579032965963985</v>
      </c>
      <c r="AG47">
        <f t="shared" si="5"/>
        <v>3.096179834827804</v>
      </c>
      <c r="AH47">
        <f t="shared" si="6"/>
        <v>1</v>
      </c>
      <c r="AI47">
        <f t="shared" si="7"/>
        <v>5.881014331694349</v>
      </c>
      <c r="AJ47">
        <f t="shared" si="8"/>
        <v>3.2487311147086606</v>
      </c>
      <c r="AK47">
        <f t="shared" si="9"/>
        <v>185.77079008966825</v>
      </c>
      <c r="AL47">
        <f t="shared" si="10"/>
        <v>69.09004390867536</v>
      </c>
      <c r="AM47">
        <f t="shared" si="11"/>
        <v>1.9090043908675352</v>
      </c>
      <c r="AN47">
        <f t="shared" si="12"/>
        <v>8.90700955627057</v>
      </c>
      <c r="AO47">
        <f t="shared" si="13"/>
        <v>181.926565309074</v>
      </c>
      <c r="AP47">
        <f t="shared" si="14"/>
        <v>0.2535583212149572</v>
      </c>
      <c r="AQ47">
        <f t="shared" si="15"/>
        <v>71.7639752442396</v>
      </c>
      <c r="AR47">
        <f t="shared" si="16"/>
        <v>18.596608403915923</v>
      </c>
      <c r="AS47">
        <f t="shared" si="17"/>
        <v>74.13435092441581</v>
      </c>
      <c r="AT47">
        <f t="shared" si="18"/>
        <v>0.29653740369766324</v>
      </c>
      <c r="AW47" s="2"/>
      <c r="BV47">
        <f>d</f>
        <v>1.0925295783106115</v>
      </c>
      <c r="CH47">
        <v>0</v>
      </c>
    </row>
    <row r="48" spans="4:86" ht="18" customHeight="1">
      <c r="D48" s="1"/>
      <c r="AA48">
        <f t="shared" si="33"/>
        <v>79.74706528642152</v>
      </c>
      <c r="AB48">
        <f t="shared" si="34"/>
        <v>71.6806452388361</v>
      </c>
      <c r="AC48" s="2">
        <f t="shared" si="36"/>
        <v>58.23271881956531</v>
      </c>
      <c r="AD48">
        <f t="shared" si="20"/>
        <v>73.07254993056665</v>
      </c>
      <c r="AE48">
        <f t="shared" si="3"/>
        <v>1.0163526757894803</v>
      </c>
      <c r="AF48">
        <f t="shared" si="4"/>
        <v>1.2753565891163419</v>
      </c>
      <c r="AG48">
        <f t="shared" si="5"/>
        <v>3.096179834827804</v>
      </c>
      <c r="AH48">
        <f t="shared" si="6"/>
        <v>1</v>
      </c>
      <c r="AI48">
        <f t="shared" si="7"/>
        <v>5.881014331694349</v>
      </c>
      <c r="AJ48">
        <f t="shared" si="8"/>
        <v>3.4345310588205837</v>
      </c>
      <c r="AK48">
        <f t="shared" si="9"/>
        <v>185.77079008966825</v>
      </c>
      <c r="AL48">
        <f t="shared" si="10"/>
        <v>67.14272745037525</v>
      </c>
      <c r="AM48">
        <f t="shared" si="11"/>
        <v>1.7142727450375252</v>
      </c>
      <c r="AN48">
        <f t="shared" si="12"/>
        <v>7.182537538955983</v>
      </c>
      <c r="AO48">
        <f t="shared" si="13"/>
        <v>181.71531806951333</v>
      </c>
      <c r="AP48">
        <f t="shared" si="14"/>
        <v>0.25637622424774115</v>
      </c>
      <c r="AQ48">
        <f t="shared" si="15"/>
        <v>71.6806452388361</v>
      </c>
      <c r="AR48">
        <f t="shared" si="16"/>
        <v>18.790725653075924</v>
      </c>
      <c r="AS48">
        <f t="shared" si="17"/>
        <v>74.10267385476075</v>
      </c>
      <c r="AT48">
        <f t="shared" si="18"/>
        <v>0.296410695419043</v>
      </c>
      <c r="AW48" s="2"/>
      <c r="BV48">
        <f>d+∑H/scal</f>
        <v>1.4542934575483315</v>
      </c>
      <c r="CH48">
        <f>∑V/scal</f>
        <v>0.9690717316051266</v>
      </c>
    </row>
    <row r="49" spans="4:87" ht="18" customHeight="1">
      <c r="D49" s="1"/>
      <c r="AA49">
        <f t="shared" si="33"/>
        <v>80.39034353298972</v>
      </c>
      <c r="AB49">
        <f t="shared" si="34"/>
        <v>71.08117346533538</v>
      </c>
      <c r="AC49" s="2">
        <f>$AC$48+1</f>
        <v>59.23271881956531</v>
      </c>
      <c r="AD49">
        <f>AD40</f>
        <v>65.07254993056665</v>
      </c>
      <c r="AE49">
        <f t="shared" si="3"/>
        <v>1.0338059683094236</v>
      </c>
      <c r="AF49">
        <f t="shared" si="4"/>
        <v>1.1357302489567955</v>
      </c>
      <c r="AG49">
        <f t="shared" si="5"/>
        <v>2.9767296231020137</v>
      </c>
      <c r="AH49">
        <f t="shared" si="6"/>
        <v>1</v>
      </c>
      <c r="AI49">
        <f t="shared" si="7"/>
        <v>5.819013597599945</v>
      </c>
      <c r="AJ49">
        <f t="shared" si="8"/>
        <v>2.372646286034325</v>
      </c>
      <c r="AK49">
        <f t="shared" si="9"/>
        <v>178.60377738612084</v>
      </c>
      <c r="AL49">
        <f t="shared" si="10"/>
        <v>78.48384235363461</v>
      </c>
      <c r="AM49">
        <f t="shared" si="11"/>
        <v>2.8483842353634614</v>
      </c>
      <c r="AN49">
        <f t="shared" si="12"/>
        <v>19.8296573853434</v>
      </c>
      <c r="AO49">
        <f t="shared" si="13"/>
        <v>173.18124318845486</v>
      </c>
      <c r="AP49">
        <f t="shared" si="14"/>
        <v>0.283148801187032</v>
      </c>
      <c r="AQ49">
        <f t="shared" si="15"/>
        <v>71.08117346533538</v>
      </c>
      <c r="AR49">
        <f t="shared" si="16"/>
        <v>20.682246963288236</v>
      </c>
      <c r="AS49">
        <f t="shared" si="17"/>
        <v>74.02897109010462</v>
      </c>
      <c r="AT49">
        <f t="shared" si="18"/>
        <v>0.29611588436041847</v>
      </c>
      <c r="AW49" s="2"/>
      <c r="BV49">
        <f>'設計計算'!E90</f>
        <v>1.6340464269458352</v>
      </c>
      <c r="CI49">
        <f>'設計計算'!H90</f>
        <v>2.3143491124260356</v>
      </c>
    </row>
    <row r="50" spans="4:87" ht="18" customHeight="1">
      <c r="D50" s="1"/>
      <c r="AA50">
        <f t="shared" si="33"/>
        <v>80.39034353298972</v>
      </c>
      <c r="AB50">
        <f t="shared" si="34"/>
        <v>71.33176655282972</v>
      </c>
      <c r="AC50" s="2">
        <f t="shared" si="36"/>
        <v>59.23271881956531</v>
      </c>
      <c r="AD50">
        <f t="shared" si="20"/>
        <v>66.07254993056665</v>
      </c>
      <c r="AE50">
        <f t="shared" si="3"/>
        <v>1.0338059683094236</v>
      </c>
      <c r="AF50">
        <f t="shared" si="4"/>
        <v>1.1531835414767388</v>
      </c>
      <c r="AG50">
        <f t="shared" si="5"/>
        <v>2.9767296231020137</v>
      </c>
      <c r="AH50">
        <f t="shared" si="6"/>
        <v>1</v>
      </c>
      <c r="AI50">
        <f t="shared" si="7"/>
        <v>5.819013597599945</v>
      </c>
      <c r="AJ50">
        <f t="shared" si="8"/>
        <v>2.465607524585725</v>
      </c>
      <c r="AK50">
        <f t="shared" si="9"/>
        <v>178.60377738612084</v>
      </c>
      <c r="AL50">
        <f t="shared" si="10"/>
        <v>77.4628740401671</v>
      </c>
      <c r="AM50">
        <f t="shared" si="11"/>
        <v>2.7462874040167087</v>
      </c>
      <c r="AN50">
        <f t="shared" si="12"/>
        <v>18.433594667144067</v>
      </c>
      <c r="AO50">
        <f t="shared" si="13"/>
        <v>173.79178491576423</v>
      </c>
      <c r="AP50">
        <f t="shared" si="14"/>
        <v>0.2749914740378839</v>
      </c>
      <c r="AQ50">
        <f t="shared" si="15"/>
        <v>71.33176655282972</v>
      </c>
      <c r="AR50">
        <f t="shared" si="16"/>
        <v>20.125502582727506</v>
      </c>
      <c r="AS50">
        <f t="shared" si="17"/>
        <v>74.1165081055143</v>
      </c>
      <c r="AT50">
        <f t="shared" si="18"/>
        <v>0.2964660324220572</v>
      </c>
      <c r="AW50" s="2"/>
      <c r="BV50">
        <f>BV49</f>
        <v>1.6340464269458352</v>
      </c>
      <c r="CI50">
        <f>CI49-'設計計算'!E88/scal</f>
        <v>1.4355491124260356</v>
      </c>
    </row>
    <row r="51" spans="4:88" ht="18" customHeight="1">
      <c r="D51" s="1"/>
      <c r="AA51">
        <f t="shared" si="33"/>
        <v>80.39034353298972</v>
      </c>
      <c r="AB51">
        <f t="shared" si="34"/>
        <v>71.54301057135454</v>
      </c>
      <c r="AC51" s="2">
        <f t="shared" si="36"/>
        <v>59.23271881956531</v>
      </c>
      <c r="AD51">
        <f t="shared" si="20"/>
        <v>67.07254993056665</v>
      </c>
      <c r="AE51">
        <f t="shared" si="3"/>
        <v>1.0338059683094236</v>
      </c>
      <c r="AF51">
        <f t="shared" si="4"/>
        <v>1.1706368339966822</v>
      </c>
      <c r="AG51">
        <f t="shared" si="5"/>
        <v>2.9767296231020137</v>
      </c>
      <c r="AH51">
        <f t="shared" si="6"/>
        <v>1</v>
      </c>
      <c r="AI51">
        <f t="shared" si="7"/>
        <v>5.819013597599945</v>
      </c>
      <c r="AJ51">
        <f t="shared" si="8"/>
        <v>2.566964137066278</v>
      </c>
      <c r="AK51">
        <f t="shared" si="9"/>
        <v>178.60377738612084</v>
      </c>
      <c r="AL51">
        <f t="shared" si="10"/>
        <v>76.35828923071678</v>
      </c>
      <c r="AM51">
        <f t="shared" si="11"/>
        <v>2.6358289230716783</v>
      </c>
      <c r="AN51">
        <f t="shared" si="12"/>
        <v>16.980579290568254</v>
      </c>
      <c r="AO51">
        <f t="shared" si="13"/>
        <v>174.3064570850707</v>
      </c>
      <c r="AP51">
        <f t="shared" si="14"/>
        <v>0.2681303698211734</v>
      </c>
      <c r="AQ51">
        <f t="shared" si="15"/>
        <v>71.54301057135454</v>
      </c>
      <c r="AR51">
        <f t="shared" si="16"/>
        <v>19.65618029847488</v>
      </c>
      <c r="AS51">
        <f t="shared" si="17"/>
        <v>74.194122311266</v>
      </c>
      <c r="AT51">
        <f t="shared" si="18"/>
        <v>0.296776489245064</v>
      </c>
      <c r="AW51" s="2"/>
      <c r="BV51">
        <f>BV50</f>
        <v>1.6340464269458352</v>
      </c>
      <c r="CJ51">
        <f>CI49</f>
        <v>2.3143491124260356</v>
      </c>
    </row>
    <row r="52" spans="4:88" ht="18" customHeight="1">
      <c r="D52" s="1"/>
      <c r="AA52">
        <f t="shared" si="33"/>
        <v>80.39034353298972</v>
      </c>
      <c r="AB52">
        <f t="shared" si="34"/>
        <v>71.71299187146347</v>
      </c>
      <c r="AC52" s="2">
        <f t="shared" si="36"/>
        <v>59.23271881956531</v>
      </c>
      <c r="AD52">
        <f t="shared" si="20"/>
        <v>68.07254993056665</v>
      </c>
      <c r="AE52">
        <f t="shared" si="3"/>
        <v>1.0338059683094236</v>
      </c>
      <c r="AF52">
        <f t="shared" si="4"/>
        <v>1.1880901265166253</v>
      </c>
      <c r="AG52">
        <f t="shared" si="5"/>
        <v>2.9767296231020137</v>
      </c>
      <c r="AH52">
        <f t="shared" si="6"/>
        <v>1</v>
      </c>
      <c r="AI52">
        <f t="shared" si="7"/>
        <v>5.819013597599945</v>
      </c>
      <c r="AJ52">
        <f t="shared" si="8"/>
        <v>2.6778618385575714</v>
      </c>
      <c r="AK52">
        <f t="shared" si="9"/>
        <v>178.60377738612084</v>
      </c>
      <c r="AL52">
        <f t="shared" si="10"/>
        <v>75.1586151223348</v>
      </c>
      <c r="AM52">
        <f t="shared" si="11"/>
        <v>2.5158615122334793</v>
      </c>
      <c r="AN52">
        <f t="shared" si="12"/>
        <v>15.470043193580436</v>
      </c>
      <c r="AO52">
        <f t="shared" si="13"/>
        <v>174.7205973058425</v>
      </c>
      <c r="AP52">
        <f t="shared" si="14"/>
        <v>0.2626200759668762</v>
      </c>
      <c r="AQ52">
        <f t="shared" si="15"/>
        <v>71.71299187146347</v>
      </c>
      <c r="AR52">
        <f t="shared" si="16"/>
        <v>19.278531678625427</v>
      </c>
      <c r="AS52">
        <f t="shared" si="17"/>
        <v>74.25910709697733</v>
      </c>
      <c r="AT52">
        <f t="shared" si="18"/>
        <v>0.29703642838790933</v>
      </c>
      <c r="AW52" s="2"/>
      <c r="BV52">
        <f>BV51-'設計計算'!E89/scal</f>
        <v>1.6340464269458352</v>
      </c>
      <c r="CJ52">
        <f>CJ51</f>
        <v>2.3143491124260356</v>
      </c>
    </row>
    <row r="53" spans="4:89" ht="18" customHeight="1">
      <c r="D53" s="1"/>
      <c r="AA53">
        <f t="shared" si="33"/>
        <v>80.39034353298972</v>
      </c>
      <c r="AB53">
        <f t="shared" si="34"/>
        <v>71.83933381900756</v>
      </c>
      <c r="AC53" s="2">
        <f t="shared" si="36"/>
        <v>59.23271881956531</v>
      </c>
      <c r="AD53">
        <f t="shared" si="20"/>
        <v>69.07254993056665</v>
      </c>
      <c r="AE53">
        <f t="shared" si="3"/>
        <v>1.0338059683094236</v>
      </c>
      <c r="AF53">
        <f t="shared" si="4"/>
        <v>1.2055434190365688</v>
      </c>
      <c r="AG53">
        <f t="shared" si="5"/>
        <v>2.9767296231020137</v>
      </c>
      <c r="AH53">
        <f t="shared" si="6"/>
        <v>1</v>
      </c>
      <c r="AI53">
        <f t="shared" si="7"/>
        <v>5.819013597599945</v>
      </c>
      <c r="AJ53">
        <f t="shared" si="8"/>
        <v>2.7996654831610313</v>
      </c>
      <c r="AK53">
        <f t="shared" si="9"/>
        <v>178.60377738612084</v>
      </c>
      <c r="AL53">
        <f t="shared" si="10"/>
        <v>73.85018772992186</v>
      </c>
      <c r="AM53">
        <f t="shared" si="11"/>
        <v>2.3850187729921863</v>
      </c>
      <c r="AN53">
        <f t="shared" si="12"/>
        <v>13.902780538267843</v>
      </c>
      <c r="AO53">
        <f t="shared" si="13"/>
        <v>175.02841517766205</v>
      </c>
      <c r="AP53">
        <f t="shared" si="14"/>
        <v>0.2585307751823222</v>
      </c>
      <c r="AQ53">
        <f t="shared" si="15"/>
        <v>71.83933381900756</v>
      </c>
      <c r="AR53">
        <f t="shared" si="16"/>
        <v>18.99783690756209</v>
      </c>
      <c r="AS53">
        <f t="shared" si="17"/>
        <v>74.30886683784871</v>
      </c>
      <c r="AT53">
        <f t="shared" si="18"/>
        <v>0.29723546735139483</v>
      </c>
      <c r="BV53">
        <v>0</v>
      </c>
      <c r="CK53">
        <v>0</v>
      </c>
    </row>
    <row r="54" spans="4:89" ht="18" customHeight="1">
      <c r="D54" s="1"/>
      <c r="AA54">
        <f t="shared" si="33"/>
        <v>80.39034353298972</v>
      </c>
      <c r="AB54">
        <f t="shared" si="34"/>
        <v>71.91913212958147</v>
      </c>
      <c r="AC54" s="2">
        <f t="shared" si="36"/>
        <v>59.23271881956531</v>
      </c>
      <c r="AD54">
        <f t="shared" si="20"/>
        <v>70.07254993056665</v>
      </c>
      <c r="AE54">
        <f t="shared" si="3"/>
        <v>1.0338059683094236</v>
      </c>
      <c r="AF54">
        <f t="shared" si="4"/>
        <v>1.222996711556512</v>
      </c>
      <c r="AG54">
        <f t="shared" si="5"/>
        <v>2.9767296231020137</v>
      </c>
      <c r="AH54">
        <f t="shared" si="6"/>
        <v>1</v>
      </c>
      <c r="AI54">
        <f t="shared" si="7"/>
        <v>5.819013597599945</v>
      </c>
      <c r="AJ54">
        <f t="shared" si="8"/>
        <v>2.9340140450929098</v>
      </c>
      <c r="AK54">
        <f t="shared" si="9"/>
        <v>178.60377738612084</v>
      </c>
      <c r="AL54">
        <f t="shared" si="10"/>
        <v>72.41660206428065</v>
      </c>
      <c r="AM54">
        <f t="shared" si="11"/>
        <v>2.241660206428066</v>
      </c>
      <c r="AN54">
        <f t="shared" si="12"/>
        <v>12.281675779481244</v>
      </c>
      <c r="AO54">
        <f t="shared" si="13"/>
        <v>175.2228347399146</v>
      </c>
      <c r="AP54">
        <f t="shared" si="14"/>
        <v>0.255950796241166</v>
      </c>
      <c r="AQ54">
        <f t="shared" si="15"/>
        <v>71.91913212958147</v>
      </c>
      <c r="AR54">
        <f t="shared" si="16"/>
        <v>18.82054845386017</v>
      </c>
      <c r="AS54">
        <f t="shared" si="17"/>
        <v>74.34093495764158</v>
      </c>
      <c r="AT54">
        <f t="shared" si="18"/>
        <v>0.2973637398305663</v>
      </c>
      <c r="BV54">
        <v>0</v>
      </c>
      <c r="CK54">
        <f>CK53-'設計計算'!H251/scal</f>
        <v>-0.5341248214962508</v>
      </c>
    </row>
    <row r="55" spans="4:89" ht="18" customHeight="1">
      <c r="D55" s="1"/>
      <c r="AA55">
        <f t="shared" si="33"/>
        <v>80.39034353298972</v>
      </c>
      <c r="AB55">
        <f t="shared" si="34"/>
        <v>71.94887858628054</v>
      </c>
      <c r="AC55" s="2">
        <f>AC54</f>
        <v>59.23271881956531</v>
      </c>
      <c r="AD55">
        <f>AD54+1</f>
        <v>71.07254993056665</v>
      </c>
      <c r="AE55">
        <f t="shared" si="3"/>
        <v>1.0338059683094236</v>
      </c>
      <c r="AF55">
        <f t="shared" si="4"/>
        <v>1.2404500040764552</v>
      </c>
      <c r="AG55">
        <f t="shared" si="5"/>
        <v>2.9767296231020137</v>
      </c>
      <c r="AH55">
        <f t="shared" si="6"/>
        <v>1</v>
      </c>
      <c r="AI55">
        <f t="shared" si="7"/>
        <v>5.819013597599945</v>
      </c>
      <c r="AJ55">
        <f t="shared" si="8"/>
        <v>3.082893028967365</v>
      </c>
      <c r="AK55">
        <f t="shared" si="9"/>
        <v>178.60377738612084</v>
      </c>
      <c r="AL55">
        <f t="shared" si="10"/>
        <v>70.83798801856159</v>
      </c>
      <c r="AM55">
        <f t="shared" si="11"/>
        <v>2.083798801856159</v>
      </c>
      <c r="AN55">
        <f t="shared" si="12"/>
        <v>10.612791487774041</v>
      </c>
      <c r="AO55">
        <f t="shared" si="13"/>
        <v>175.29530861872738</v>
      </c>
      <c r="AP55">
        <f t="shared" si="14"/>
        <v>0.25498962815512327</v>
      </c>
      <c r="AQ55">
        <f t="shared" si="15"/>
        <v>71.94887858628054</v>
      </c>
      <c r="AR55">
        <f t="shared" si="16"/>
        <v>18.75446054706913</v>
      </c>
      <c r="AS55">
        <f t="shared" si="17"/>
        <v>74.35301554230946</v>
      </c>
      <c r="AT55">
        <f t="shared" si="18"/>
        <v>0.2974120621692379</v>
      </c>
      <c r="BV55">
        <f>MIN(3*d,B)</f>
        <v>2.5</v>
      </c>
      <c r="CK55">
        <f>0-'設計計算'!H252/scal</f>
        <v>-0.24113256378785042</v>
      </c>
    </row>
    <row r="56" spans="4:89" ht="18" customHeight="1">
      <c r="D56" s="1"/>
      <c r="AA56">
        <f t="shared" si="33"/>
        <v>80.39034353298972</v>
      </c>
      <c r="AB56">
        <f t="shared" si="34"/>
        <v>71.92437333649889</v>
      </c>
      <c r="AC56" s="2">
        <f t="shared" si="36"/>
        <v>59.23271881956531</v>
      </c>
      <c r="AD56">
        <f t="shared" si="20"/>
        <v>72.07254993056665</v>
      </c>
      <c r="AE56">
        <f t="shared" si="3"/>
        <v>1.0338059683094236</v>
      </c>
      <c r="AF56">
        <f t="shared" si="4"/>
        <v>1.2579032965963985</v>
      </c>
      <c r="AG56">
        <f t="shared" si="5"/>
        <v>2.9767296231020137</v>
      </c>
      <c r="AH56">
        <f t="shared" si="6"/>
        <v>1</v>
      </c>
      <c r="AI56">
        <f t="shared" si="7"/>
        <v>5.819013597599945</v>
      </c>
      <c r="AJ56">
        <f t="shared" si="8"/>
        <v>3.2487311147086606</v>
      </c>
      <c r="AK56">
        <f t="shared" si="9"/>
        <v>178.60377738612084</v>
      </c>
      <c r="AL56">
        <f t="shared" si="10"/>
        <v>69.09004390867536</v>
      </c>
      <c r="AM56">
        <f t="shared" si="11"/>
        <v>1.9090043908675352</v>
      </c>
      <c r="AN56">
        <f t="shared" si="12"/>
        <v>8.90700955627057</v>
      </c>
      <c r="AO56">
        <f t="shared" si="13"/>
        <v>175.23560434803326</v>
      </c>
      <c r="AP56">
        <f t="shared" si="14"/>
        <v>0.25578141960466766</v>
      </c>
      <c r="AQ56">
        <f t="shared" si="15"/>
        <v>71.92437333649889</v>
      </c>
      <c r="AR56">
        <f t="shared" si="16"/>
        <v>18.808904028517844</v>
      </c>
      <c r="AS56">
        <f t="shared" si="17"/>
        <v>74.34305852332191</v>
      </c>
      <c r="AT56">
        <f t="shared" si="18"/>
        <v>0.29737223409328767</v>
      </c>
      <c r="BV56">
        <f>BV55</f>
        <v>2.5</v>
      </c>
      <c r="CK56">
        <v>0</v>
      </c>
    </row>
    <row r="57" spans="4:90" ht="18" customHeight="1">
      <c r="D57" s="1"/>
      <c r="AA57">
        <f t="shared" si="33"/>
        <v>80.39034353298972</v>
      </c>
      <c r="AB57">
        <f t="shared" si="34"/>
        <v>71.84062827112399</v>
      </c>
      <c r="AC57" s="2">
        <f t="shared" si="36"/>
        <v>59.23271881956531</v>
      </c>
      <c r="AD57">
        <f t="shared" si="20"/>
        <v>73.07254993056665</v>
      </c>
      <c r="AE57">
        <f t="shared" si="3"/>
        <v>1.0338059683094236</v>
      </c>
      <c r="AF57">
        <f t="shared" si="4"/>
        <v>1.2753565891163419</v>
      </c>
      <c r="AG57">
        <f t="shared" si="5"/>
        <v>2.9767296231020137</v>
      </c>
      <c r="AH57">
        <f t="shared" si="6"/>
        <v>1</v>
      </c>
      <c r="AI57">
        <f t="shared" si="7"/>
        <v>5.819013597599945</v>
      </c>
      <c r="AJ57">
        <f t="shared" si="8"/>
        <v>3.4345310588205837</v>
      </c>
      <c r="AK57">
        <f t="shared" si="9"/>
        <v>178.60377738612084</v>
      </c>
      <c r="AL57">
        <f t="shared" si="10"/>
        <v>67.14272745037525</v>
      </c>
      <c r="AM57">
        <f t="shared" si="11"/>
        <v>1.7142727450375252</v>
      </c>
      <c r="AN57">
        <f t="shared" si="12"/>
        <v>7.182537538955983</v>
      </c>
      <c r="AO57">
        <f t="shared" si="13"/>
        <v>175.0315689639017</v>
      </c>
      <c r="AP57">
        <f t="shared" si="14"/>
        <v>0.25848890620670895</v>
      </c>
      <c r="AQ57">
        <f t="shared" si="15"/>
        <v>71.84062827112399</v>
      </c>
      <c r="AR57">
        <f t="shared" si="16"/>
        <v>18.9949610144202</v>
      </c>
      <c r="AS57">
        <f t="shared" si="17"/>
        <v>74.30938308403026</v>
      </c>
      <c r="AT57">
        <f t="shared" si="18"/>
        <v>0.29723753233612105</v>
      </c>
      <c r="BV57" s="3">
        <f>-B/2</f>
        <v>-1.25</v>
      </c>
      <c r="CL57">
        <f>Df</f>
        <v>1</v>
      </c>
    </row>
    <row r="58" spans="4:90" ht="18" customHeight="1">
      <c r="D58" s="1"/>
      <c r="AA58">
        <f t="shared" si="33"/>
        <v>80.8611026288547</v>
      </c>
      <c r="AB58">
        <f t="shared" si="34"/>
        <v>71.09946187095501</v>
      </c>
      <c r="AC58" s="1">
        <f>$AC$57+1</f>
        <v>60.23271881956531</v>
      </c>
      <c r="AD58">
        <f>AD49</f>
        <v>65.07254993056665</v>
      </c>
      <c r="AE58">
        <f t="shared" si="3"/>
        <v>1.051259260829367</v>
      </c>
      <c r="AF58">
        <f t="shared" si="4"/>
        <v>1.1357302489567955</v>
      </c>
      <c r="AG58">
        <f t="shared" si="5"/>
        <v>2.859736483809603</v>
      </c>
      <c r="AH58">
        <f t="shared" si="6"/>
        <v>1</v>
      </c>
      <c r="AI58">
        <f t="shared" si="7"/>
        <v>5.760042773871711</v>
      </c>
      <c r="AJ58">
        <f t="shared" si="8"/>
        <v>2.372646286034325</v>
      </c>
      <c r="AK58">
        <f t="shared" si="9"/>
        <v>171.5841890285762</v>
      </c>
      <c r="AL58">
        <f t="shared" si="10"/>
        <v>78.48384235363461</v>
      </c>
      <c r="AM58">
        <f t="shared" si="11"/>
        <v>2.8483842353634614</v>
      </c>
      <c r="AN58">
        <f t="shared" si="12"/>
        <v>19.8296573853434</v>
      </c>
      <c r="AO58">
        <f t="shared" si="13"/>
        <v>166.78428707418288</v>
      </c>
      <c r="AP58">
        <f t="shared" si="14"/>
        <v>0.28348931587880905</v>
      </c>
      <c r="AQ58">
        <f t="shared" si="15"/>
        <v>71.09946187095501</v>
      </c>
      <c r="AR58">
        <f t="shared" si="16"/>
        <v>20.71383098398195</v>
      </c>
      <c r="AS58">
        <f t="shared" si="17"/>
        <v>74.05535951146518</v>
      </c>
      <c r="AT58">
        <f t="shared" si="18"/>
        <v>0.29622143804586076</v>
      </c>
      <c r="BV58" s="3">
        <f>IF(Df&lt;=ta,0,IF(Df&lt;=tb,bt,bt+(Df-tb)*n))</f>
        <v>1</v>
      </c>
      <c r="CL58">
        <f>Df</f>
        <v>1</v>
      </c>
    </row>
    <row r="59" spans="4:91" ht="18" customHeight="1">
      <c r="D59" s="1"/>
      <c r="AA59">
        <f t="shared" si="33"/>
        <v>80.8611026288547</v>
      </c>
      <c r="AB59">
        <f t="shared" si="34"/>
        <v>71.35699126306591</v>
      </c>
      <c r="AC59" s="1">
        <f>AC58</f>
        <v>60.23271881956531</v>
      </c>
      <c r="AD59">
        <f t="shared" si="20"/>
        <v>66.07254993056665</v>
      </c>
      <c r="AE59">
        <f t="shared" si="3"/>
        <v>1.051259260829367</v>
      </c>
      <c r="AF59">
        <f t="shared" si="4"/>
        <v>1.1531835414767388</v>
      </c>
      <c r="AG59">
        <f t="shared" si="5"/>
        <v>2.859736483809603</v>
      </c>
      <c r="AH59">
        <f t="shared" si="6"/>
        <v>1</v>
      </c>
      <c r="AI59">
        <f t="shared" si="7"/>
        <v>5.760042773871711</v>
      </c>
      <c r="AJ59">
        <f t="shared" si="8"/>
        <v>2.465607524585725</v>
      </c>
      <c r="AK59">
        <f t="shared" si="9"/>
        <v>171.5841890285762</v>
      </c>
      <c r="AL59">
        <f t="shared" si="10"/>
        <v>77.4628740401671</v>
      </c>
      <c r="AM59">
        <f t="shared" si="11"/>
        <v>2.7462874040167087</v>
      </c>
      <c r="AN59">
        <f t="shared" si="12"/>
        <v>18.433594667144067</v>
      </c>
      <c r="AO59">
        <f t="shared" si="13"/>
        <v>167.38839651374266</v>
      </c>
      <c r="AP59">
        <f t="shared" si="14"/>
        <v>0.2754424185797272</v>
      </c>
      <c r="AQ59">
        <f t="shared" si="15"/>
        <v>71.35699126306591</v>
      </c>
      <c r="AR59">
        <f t="shared" si="16"/>
        <v>20.167363393758876</v>
      </c>
      <c r="AS59">
        <f t="shared" si="17"/>
        <v>74.15215943162538</v>
      </c>
      <c r="AT59">
        <f t="shared" si="18"/>
        <v>0.29660863772650153</v>
      </c>
      <c r="CM59">
        <f>CB28</f>
        <v>5</v>
      </c>
    </row>
    <row r="60" spans="4:46" ht="18" customHeight="1">
      <c r="D60" s="1"/>
      <c r="AA60">
        <f t="shared" si="33"/>
        <v>80.8611026288547</v>
      </c>
      <c r="AB60">
        <f t="shared" si="34"/>
        <v>71.57433482128519</v>
      </c>
      <c r="AC60" s="1">
        <f aca="true" t="shared" si="37" ref="AC60:AC66">AC59</f>
        <v>60.23271881956531</v>
      </c>
      <c r="AD60">
        <f t="shared" si="20"/>
        <v>67.07254993056665</v>
      </c>
      <c r="AE60">
        <f>AC60*PI()/180</f>
        <v>1.051259260829367</v>
      </c>
      <c r="AF60">
        <f>AD60*PI()/180</f>
        <v>1.1706368339966822</v>
      </c>
      <c r="AG60">
        <f t="shared" si="5"/>
        <v>2.859736483809603</v>
      </c>
      <c r="AH60">
        <f t="shared" si="6"/>
        <v>1</v>
      </c>
      <c r="AI60">
        <f t="shared" si="7"/>
        <v>5.760042773871711</v>
      </c>
      <c r="AJ60">
        <f t="shared" si="8"/>
        <v>2.566964137066278</v>
      </c>
      <c r="AK60">
        <f t="shared" si="9"/>
        <v>171.5841890285762</v>
      </c>
      <c r="AL60">
        <f t="shared" si="10"/>
        <v>76.35828923071678</v>
      </c>
      <c r="AM60">
        <f t="shared" si="11"/>
        <v>2.6358289230716783</v>
      </c>
      <c r="AN60">
        <f t="shared" si="12"/>
        <v>16.980579290568254</v>
      </c>
      <c r="AO60">
        <f t="shared" si="13"/>
        <v>167.8982384936097</v>
      </c>
      <c r="AP60">
        <f t="shared" si="14"/>
        <v>0.26866787963125177</v>
      </c>
      <c r="AQ60">
        <f t="shared" si="15"/>
        <v>71.57433482128519</v>
      </c>
      <c r="AR60">
        <f t="shared" si="16"/>
        <v>19.706168616972178</v>
      </c>
      <c r="AS60">
        <f t="shared" si="17"/>
        <v>74.23758136328242</v>
      </c>
      <c r="AT60">
        <f t="shared" si="18"/>
        <v>0.29695032545312966</v>
      </c>
    </row>
    <row r="61" spans="4:46" ht="18" customHeight="1">
      <c r="D61" s="2"/>
      <c r="AA61">
        <f t="shared" si="33"/>
        <v>80.8611026288547</v>
      </c>
      <c r="AB61">
        <f t="shared" si="34"/>
        <v>71.74946747361444</v>
      </c>
      <c r="AC61" s="1">
        <f t="shared" si="37"/>
        <v>60.23271881956531</v>
      </c>
      <c r="AD61">
        <f t="shared" si="20"/>
        <v>68.07254993056665</v>
      </c>
      <c r="AE61">
        <f aca="true" t="shared" si="38" ref="AE61:AE71">AC61*PI()/180</f>
        <v>1.051259260829367</v>
      </c>
      <c r="AF61">
        <f aca="true" t="shared" si="39" ref="AF61:AF71">AD61*PI()/180</f>
        <v>1.1880901265166253</v>
      </c>
      <c r="AG61">
        <f t="shared" si="5"/>
        <v>2.859736483809603</v>
      </c>
      <c r="AH61">
        <f t="shared" si="6"/>
        <v>1</v>
      </c>
      <c r="AI61">
        <f t="shared" si="7"/>
        <v>5.760042773871711</v>
      </c>
      <c r="AJ61">
        <f t="shared" si="8"/>
        <v>2.6778618385575714</v>
      </c>
      <c r="AK61">
        <f t="shared" si="9"/>
        <v>171.5841890285762</v>
      </c>
      <c r="AL61">
        <f t="shared" si="10"/>
        <v>75.1586151223348</v>
      </c>
      <c r="AM61">
        <f t="shared" si="11"/>
        <v>2.5158615122334793</v>
      </c>
      <c r="AN61">
        <f t="shared" si="12"/>
        <v>15.470043193580436</v>
      </c>
      <c r="AO61">
        <f t="shared" si="13"/>
        <v>168.309062623547</v>
      </c>
      <c r="AP61">
        <f t="shared" si="14"/>
        <v>0.2632205711598022</v>
      </c>
      <c r="AQ61">
        <f t="shared" si="15"/>
        <v>71.74946747361444</v>
      </c>
      <c r="AR61">
        <f t="shared" si="16"/>
        <v>19.334543779499143</v>
      </c>
      <c r="AS61">
        <f t="shared" si="17"/>
        <v>74.30888685688022</v>
      </c>
      <c r="AT61">
        <f t="shared" si="18"/>
        <v>0.2972355474275209</v>
      </c>
    </row>
    <row r="62" spans="4:46" ht="18" customHeight="1">
      <c r="D62" s="2"/>
      <c r="AA62">
        <f t="shared" si="33"/>
        <v>80.8611026288547</v>
      </c>
      <c r="AB62">
        <f t="shared" si="34"/>
        <v>71.87988781517002</v>
      </c>
      <c r="AC62" s="1">
        <f t="shared" si="37"/>
        <v>60.23271881956531</v>
      </c>
      <c r="AD62">
        <f t="shared" si="20"/>
        <v>69.07254993056665</v>
      </c>
      <c r="AE62">
        <f t="shared" si="38"/>
        <v>1.051259260829367</v>
      </c>
      <c r="AF62">
        <f t="shared" si="39"/>
        <v>1.2055434190365688</v>
      </c>
      <c r="AG62">
        <f t="shared" si="5"/>
        <v>2.859736483809603</v>
      </c>
      <c r="AH62">
        <f t="shared" si="6"/>
        <v>1</v>
      </c>
      <c r="AI62">
        <f t="shared" si="7"/>
        <v>5.760042773871711</v>
      </c>
      <c r="AJ62">
        <f t="shared" si="8"/>
        <v>2.7996654831610313</v>
      </c>
      <c r="AK62">
        <f t="shared" si="9"/>
        <v>171.5841890285762</v>
      </c>
      <c r="AL62">
        <f t="shared" si="10"/>
        <v>73.85018772992186</v>
      </c>
      <c r="AM62">
        <f t="shared" si="11"/>
        <v>2.3850187729921863</v>
      </c>
      <c r="AN62">
        <f t="shared" si="12"/>
        <v>13.902780538267843</v>
      </c>
      <c r="AO62">
        <f t="shared" si="13"/>
        <v>168.61500113719987</v>
      </c>
      <c r="AP62">
        <f t="shared" si="14"/>
        <v>0.2591708633491196</v>
      </c>
      <c r="AQ62">
        <f t="shared" si="15"/>
        <v>71.87988781517002</v>
      </c>
      <c r="AR62">
        <f t="shared" si="16"/>
        <v>19.057796767510467</v>
      </c>
      <c r="AS62">
        <f t="shared" si="17"/>
        <v>74.3634176860717</v>
      </c>
      <c r="AT62">
        <f t="shared" si="18"/>
        <v>0.2974536707442868</v>
      </c>
    </row>
    <row r="63" spans="4:46" ht="18" customHeight="1">
      <c r="D63" s="2"/>
      <c r="AA63">
        <f t="shared" si="33"/>
        <v>80.8611026288547</v>
      </c>
      <c r="AB63">
        <f t="shared" si="34"/>
        <v>71.96255055244069</v>
      </c>
      <c r="AC63" s="1">
        <f t="shared" si="37"/>
        <v>60.23271881956531</v>
      </c>
      <c r="AD63">
        <f t="shared" si="20"/>
        <v>70.07254993056665</v>
      </c>
      <c r="AE63">
        <f t="shared" si="38"/>
        <v>1.051259260829367</v>
      </c>
      <c r="AF63">
        <f t="shared" si="39"/>
        <v>1.222996711556512</v>
      </c>
      <c r="AG63">
        <f t="shared" si="5"/>
        <v>2.859736483809603</v>
      </c>
      <c r="AH63">
        <f t="shared" si="6"/>
        <v>1</v>
      </c>
      <c r="AI63">
        <f t="shared" si="7"/>
        <v>5.760042773871711</v>
      </c>
      <c r="AJ63">
        <f t="shared" si="8"/>
        <v>2.9340140450929098</v>
      </c>
      <c r="AK63">
        <f t="shared" si="9"/>
        <v>171.5841890285762</v>
      </c>
      <c r="AL63">
        <f t="shared" si="10"/>
        <v>72.41660206428065</v>
      </c>
      <c r="AM63">
        <f t="shared" si="11"/>
        <v>2.241660206428066</v>
      </c>
      <c r="AN63">
        <f t="shared" si="12"/>
        <v>12.281675779481244</v>
      </c>
      <c r="AO63">
        <f t="shared" si="13"/>
        <v>168.8089104206247</v>
      </c>
      <c r="AP63">
        <f t="shared" si="14"/>
        <v>0.25660718606315425</v>
      </c>
      <c r="AQ63">
        <f t="shared" si="15"/>
        <v>71.96255055244069</v>
      </c>
      <c r="AR63">
        <f t="shared" si="16"/>
        <v>18.882389578190157</v>
      </c>
      <c r="AS63">
        <f t="shared" si="17"/>
        <v>74.39861099640991</v>
      </c>
      <c r="AT63">
        <f t="shared" si="18"/>
        <v>0.29759444398563967</v>
      </c>
    </row>
    <row r="64" spans="4:46" ht="18" customHeight="1">
      <c r="D64" s="2"/>
      <c r="AA64">
        <f t="shared" si="33"/>
        <v>80.8611026288547</v>
      </c>
      <c r="AB64">
        <f t="shared" si="34"/>
        <v>71.99378690016782</v>
      </c>
      <c r="AC64" s="1">
        <f t="shared" si="37"/>
        <v>60.23271881956531</v>
      </c>
      <c r="AD64">
        <f t="shared" si="20"/>
        <v>71.07254993056665</v>
      </c>
      <c r="AE64">
        <f t="shared" si="38"/>
        <v>1.051259260829367</v>
      </c>
      <c r="AF64">
        <f t="shared" si="39"/>
        <v>1.2404500040764552</v>
      </c>
      <c r="AG64">
        <f t="shared" si="5"/>
        <v>2.859736483809603</v>
      </c>
      <c r="AH64">
        <f t="shared" si="6"/>
        <v>1</v>
      </c>
      <c r="AI64">
        <f t="shared" si="7"/>
        <v>5.760042773871711</v>
      </c>
      <c r="AJ64">
        <f t="shared" si="8"/>
        <v>3.082893028967365</v>
      </c>
      <c r="AK64">
        <f t="shared" si="9"/>
        <v>171.5841890285762</v>
      </c>
      <c r="AL64">
        <f t="shared" si="10"/>
        <v>70.83798801856159</v>
      </c>
      <c r="AM64">
        <f t="shared" si="11"/>
        <v>2.083798801856159</v>
      </c>
      <c r="AN64">
        <f t="shared" si="12"/>
        <v>10.612791487774041</v>
      </c>
      <c r="AO64">
        <f t="shared" si="13"/>
        <v>168.8821842802205</v>
      </c>
      <c r="AP64">
        <f t="shared" si="14"/>
        <v>0.25563906523744806</v>
      </c>
      <c r="AQ64">
        <f t="shared" si="15"/>
        <v>71.99378690016782</v>
      </c>
      <c r="AR64">
        <f t="shared" si="16"/>
        <v>18.81610723453261</v>
      </c>
      <c r="AS64">
        <f t="shared" si="17"/>
        <v>74.41203695430066</v>
      </c>
      <c r="AT64">
        <f t="shared" si="18"/>
        <v>0.29764814781720267</v>
      </c>
    </row>
    <row r="65" spans="4:46" ht="18" customHeight="1">
      <c r="D65" s="2"/>
      <c r="AA65">
        <f t="shared" si="33"/>
        <v>80.8611026288547</v>
      </c>
      <c r="AB65">
        <f t="shared" si="34"/>
        <v>71.96921310110993</v>
      </c>
      <c r="AC65" s="1">
        <f>AC64</f>
        <v>60.23271881956531</v>
      </c>
      <c r="AD65">
        <f>AD64+1</f>
        <v>72.07254993056665</v>
      </c>
      <c r="AE65">
        <f t="shared" si="38"/>
        <v>1.051259260829367</v>
      </c>
      <c r="AF65">
        <f t="shared" si="39"/>
        <v>1.2579032965963985</v>
      </c>
      <c r="AG65">
        <f t="shared" si="5"/>
        <v>2.859736483809603</v>
      </c>
      <c r="AH65">
        <f t="shared" si="6"/>
        <v>1</v>
      </c>
      <c r="AI65">
        <f t="shared" si="7"/>
        <v>5.760042773871711</v>
      </c>
      <c r="AJ65">
        <f t="shared" si="8"/>
        <v>3.2487311147086606</v>
      </c>
      <c r="AK65">
        <f t="shared" si="9"/>
        <v>171.5841890285762</v>
      </c>
      <c r="AL65">
        <f t="shared" si="10"/>
        <v>69.09004390867536</v>
      </c>
      <c r="AM65">
        <f t="shared" si="11"/>
        <v>1.9090043908675352</v>
      </c>
      <c r="AN65">
        <f t="shared" si="12"/>
        <v>8.90700955627057</v>
      </c>
      <c r="AO65">
        <f t="shared" si="13"/>
        <v>168.82453934946122</v>
      </c>
      <c r="AP65">
        <f t="shared" si="14"/>
        <v>0.2564006616831255</v>
      </c>
      <c r="AQ65">
        <f t="shared" si="15"/>
        <v>71.96921310110993</v>
      </c>
      <c r="AR65">
        <f t="shared" si="16"/>
        <v>18.868251902928392</v>
      </c>
      <c r="AS65">
        <f t="shared" si="17"/>
        <v>74.40146883137008</v>
      </c>
      <c r="AT65">
        <f t="shared" si="18"/>
        <v>0.29760587532548033</v>
      </c>
    </row>
    <row r="66" spans="4:46" ht="18" customHeight="1">
      <c r="D66" s="2"/>
      <c r="AA66">
        <f t="shared" si="33"/>
        <v>80.8611026288547</v>
      </c>
      <c r="AB66">
        <f t="shared" si="34"/>
        <v>71.88362961663846</v>
      </c>
      <c r="AC66" s="1">
        <f t="shared" si="37"/>
        <v>60.23271881956531</v>
      </c>
      <c r="AD66">
        <f t="shared" si="20"/>
        <v>73.07254993056665</v>
      </c>
      <c r="AE66">
        <f t="shared" si="38"/>
        <v>1.051259260829367</v>
      </c>
      <c r="AF66">
        <f t="shared" si="39"/>
        <v>1.2753565891163419</v>
      </c>
      <c r="AG66">
        <f t="shared" si="5"/>
        <v>2.859736483809603</v>
      </c>
      <c r="AH66">
        <f t="shared" si="6"/>
        <v>1</v>
      </c>
      <c r="AI66">
        <f t="shared" si="7"/>
        <v>5.760042773871711</v>
      </c>
      <c r="AJ66">
        <f t="shared" si="8"/>
        <v>3.4345310588205837</v>
      </c>
      <c r="AK66">
        <f t="shared" si="9"/>
        <v>171.5841890285762</v>
      </c>
      <c r="AL66">
        <f t="shared" si="10"/>
        <v>67.14272745037525</v>
      </c>
      <c r="AM66">
        <f t="shared" si="11"/>
        <v>1.7142727450375252</v>
      </c>
      <c r="AN66">
        <f t="shared" si="12"/>
        <v>7.182537538955983</v>
      </c>
      <c r="AO66">
        <f t="shared" si="13"/>
        <v>168.62377861137287</v>
      </c>
      <c r="AP66">
        <f t="shared" si="14"/>
        <v>0.25905476392012694</v>
      </c>
      <c r="AQ66">
        <f t="shared" si="15"/>
        <v>71.88362961663846</v>
      </c>
      <c r="AR66">
        <f t="shared" si="16"/>
        <v>19.049856806891654</v>
      </c>
      <c r="AS66">
        <f t="shared" si="17"/>
        <v>74.36500017632716</v>
      </c>
      <c r="AT66">
        <f t="shared" si="18"/>
        <v>0.2974600007053086</v>
      </c>
    </row>
    <row r="67" spans="4:46" ht="18" customHeight="1">
      <c r="D67" s="2"/>
      <c r="AA67">
        <f t="shared" si="33"/>
        <v>81.16096677573573</v>
      </c>
      <c r="AB67">
        <f t="shared" si="34"/>
        <v>71.02076965848192</v>
      </c>
      <c r="AC67" s="2">
        <f>$AC$66+1</f>
        <v>61.23271881956531</v>
      </c>
      <c r="AD67">
        <f>AD22</f>
        <v>65.07254993056665</v>
      </c>
      <c r="AE67">
        <f t="shared" si="38"/>
        <v>1.0687125533493103</v>
      </c>
      <c r="AF67">
        <f t="shared" si="39"/>
        <v>1.1357302489567955</v>
      </c>
      <c r="AG67">
        <f t="shared" si="5"/>
        <v>2.7450562274136683</v>
      </c>
      <c r="AH67">
        <f t="shared" si="6"/>
        <v>1</v>
      </c>
      <c r="AI67">
        <f t="shared" si="7"/>
        <v>5.703975253423051</v>
      </c>
      <c r="AJ67">
        <f t="shared" si="8"/>
        <v>2.372646286034325</v>
      </c>
      <c r="AK67">
        <f t="shared" si="9"/>
        <v>164.7033736448201</v>
      </c>
      <c r="AL67">
        <f t="shared" si="10"/>
        <v>78.48384235363461</v>
      </c>
      <c r="AM67">
        <f t="shared" si="11"/>
        <v>2.8483842353634614</v>
      </c>
      <c r="AN67">
        <f t="shared" si="12"/>
        <v>19.8296573853434</v>
      </c>
      <c r="AO67">
        <f t="shared" si="13"/>
        <v>160.67387246866852</v>
      </c>
      <c r="AP67">
        <f t="shared" si="14"/>
        <v>0.2820224069057816</v>
      </c>
      <c r="AQ67">
        <f t="shared" si="15"/>
        <v>71.02076965848192</v>
      </c>
      <c r="AR67">
        <f t="shared" si="16"/>
        <v>20.577929773188572</v>
      </c>
      <c r="AS67">
        <f t="shared" si="17"/>
        <v>73.94187525775517</v>
      </c>
      <c r="AT67">
        <f t="shared" si="18"/>
        <v>0.2957675010310207</v>
      </c>
    </row>
    <row r="68" spans="4:46" ht="18" customHeight="1">
      <c r="D68" s="2"/>
      <c r="AA68">
        <f t="shared" si="33"/>
        <v>81.16096677573573</v>
      </c>
      <c r="AB68">
        <f t="shared" si="34"/>
        <v>71.28332556753854</v>
      </c>
      <c r="AC68" s="2">
        <f aca="true" t="shared" si="40" ref="AC68:AC75">$AC$66+1</f>
        <v>61.23271881956531</v>
      </c>
      <c r="AD68">
        <f t="shared" si="20"/>
        <v>66.07254993056665</v>
      </c>
      <c r="AE68">
        <f t="shared" si="38"/>
        <v>1.0687125533493103</v>
      </c>
      <c r="AF68">
        <f t="shared" si="39"/>
        <v>1.1531835414767388</v>
      </c>
      <c r="AG68">
        <f t="shared" si="5"/>
        <v>2.7450562274136683</v>
      </c>
      <c r="AH68">
        <f t="shared" si="6"/>
        <v>1</v>
      </c>
      <c r="AI68">
        <f t="shared" si="7"/>
        <v>5.703975253423051</v>
      </c>
      <c r="AJ68">
        <f t="shared" si="8"/>
        <v>2.465607524585725</v>
      </c>
      <c r="AK68">
        <f t="shared" si="9"/>
        <v>164.7033736448201</v>
      </c>
      <c r="AL68">
        <f t="shared" si="10"/>
        <v>77.4628740401671</v>
      </c>
      <c r="AM68">
        <f t="shared" si="11"/>
        <v>2.7462874040167087</v>
      </c>
      <c r="AN68">
        <f t="shared" si="12"/>
        <v>18.433594667144067</v>
      </c>
      <c r="AO68">
        <f t="shared" si="13"/>
        <v>161.26786595607393</v>
      </c>
      <c r="AP68">
        <f t="shared" si="14"/>
        <v>0.2741242727389529</v>
      </c>
      <c r="AQ68">
        <f t="shared" si="15"/>
        <v>71.28332556753854</v>
      </c>
      <c r="AR68">
        <f t="shared" si="16"/>
        <v>20.045113991046662</v>
      </c>
      <c r="AS68">
        <f t="shared" si="17"/>
        <v>74.04808639581275</v>
      </c>
      <c r="AT68">
        <f t="shared" si="18"/>
        <v>0.29619234558325097</v>
      </c>
    </row>
    <row r="69" spans="4:46" ht="18" customHeight="1">
      <c r="D69" s="2"/>
      <c r="AA69">
        <f t="shared" si="33"/>
        <v>81.16096677573573</v>
      </c>
      <c r="AB69">
        <f t="shared" si="34"/>
        <v>71.5049280024939</v>
      </c>
      <c r="AC69" s="2">
        <f t="shared" si="40"/>
        <v>61.23271881956531</v>
      </c>
      <c r="AD69">
        <f t="shared" si="20"/>
        <v>67.07254993056665</v>
      </c>
      <c r="AE69">
        <f t="shared" si="38"/>
        <v>1.0687125533493103</v>
      </c>
      <c r="AF69">
        <f t="shared" si="39"/>
        <v>1.1706368339966822</v>
      </c>
      <c r="AG69">
        <f t="shared" si="5"/>
        <v>2.7450562274136683</v>
      </c>
      <c r="AH69">
        <f t="shared" si="6"/>
        <v>1</v>
      </c>
      <c r="AI69">
        <f t="shared" si="7"/>
        <v>5.703975253423051</v>
      </c>
      <c r="AJ69">
        <f t="shared" si="8"/>
        <v>2.566964137066278</v>
      </c>
      <c r="AK69">
        <f t="shared" si="9"/>
        <v>164.7033736448201</v>
      </c>
      <c r="AL69">
        <f t="shared" si="10"/>
        <v>76.35828923071678</v>
      </c>
      <c r="AM69">
        <f t="shared" si="11"/>
        <v>2.6358289230716783</v>
      </c>
      <c r="AN69">
        <f t="shared" si="12"/>
        <v>16.980579290568254</v>
      </c>
      <c r="AO69">
        <f t="shared" si="13"/>
        <v>161.7692083316069</v>
      </c>
      <c r="AP69">
        <f t="shared" si="14"/>
        <v>0.2674760418497417</v>
      </c>
      <c r="AQ69">
        <f t="shared" si="15"/>
        <v>71.5049280024939</v>
      </c>
      <c r="AR69">
        <f t="shared" si="16"/>
        <v>19.595406821516406</v>
      </c>
      <c r="AS69">
        <f t="shared" si="17"/>
        <v>74.14131572303373</v>
      </c>
      <c r="AT69">
        <f t="shared" si="18"/>
        <v>0.2965652628921349</v>
      </c>
    </row>
    <row r="70" spans="4:46" ht="18" customHeight="1">
      <c r="D70" s="2"/>
      <c r="AA70">
        <f t="shared" si="33"/>
        <v>81.16096677573573</v>
      </c>
      <c r="AB70">
        <f t="shared" si="34"/>
        <v>71.68343809375057</v>
      </c>
      <c r="AC70" s="2">
        <f t="shared" si="40"/>
        <v>61.23271881956531</v>
      </c>
      <c r="AD70">
        <f t="shared" si="20"/>
        <v>68.07254993056665</v>
      </c>
      <c r="AE70">
        <f t="shared" si="38"/>
        <v>1.0687125533493103</v>
      </c>
      <c r="AF70">
        <f t="shared" si="39"/>
        <v>1.1880901265166253</v>
      </c>
      <c r="AG70">
        <f t="shared" si="5"/>
        <v>2.7450562274136683</v>
      </c>
      <c r="AH70">
        <f t="shared" si="6"/>
        <v>1</v>
      </c>
      <c r="AI70">
        <f t="shared" si="7"/>
        <v>5.703975253423051</v>
      </c>
      <c r="AJ70">
        <f t="shared" si="8"/>
        <v>2.6778618385575714</v>
      </c>
      <c r="AK70">
        <f t="shared" si="9"/>
        <v>164.7033736448201</v>
      </c>
      <c r="AL70">
        <f t="shared" si="10"/>
        <v>75.1586151223348</v>
      </c>
      <c r="AM70">
        <f t="shared" si="11"/>
        <v>2.5158615122334793</v>
      </c>
      <c r="AN70">
        <f t="shared" si="12"/>
        <v>15.470043193580436</v>
      </c>
      <c r="AO70">
        <f t="shared" si="13"/>
        <v>162.17306072260277</v>
      </c>
      <c r="AP70">
        <f t="shared" si="14"/>
        <v>0.2621329436702005</v>
      </c>
      <c r="AQ70">
        <f t="shared" si="15"/>
        <v>71.68343809375057</v>
      </c>
      <c r="AR70">
        <f t="shared" si="16"/>
        <v>19.2331487628999</v>
      </c>
      <c r="AS70">
        <f t="shared" si="17"/>
        <v>74.21879349784938</v>
      </c>
      <c r="AT70">
        <f t="shared" si="18"/>
        <v>0.2968751739913975</v>
      </c>
    </row>
    <row r="71" spans="4:46" ht="18" customHeight="1">
      <c r="D71" s="2"/>
      <c r="AA71">
        <f t="shared" si="33"/>
        <v>81.16096677573573</v>
      </c>
      <c r="AB71">
        <f t="shared" si="34"/>
        <v>71.816227456291</v>
      </c>
      <c r="AC71" s="2">
        <f t="shared" si="40"/>
        <v>61.23271881956531</v>
      </c>
      <c r="AD71">
        <f t="shared" si="20"/>
        <v>69.07254993056665</v>
      </c>
      <c r="AE71">
        <f t="shared" si="38"/>
        <v>1.0687125533493103</v>
      </c>
      <c r="AF71">
        <f t="shared" si="39"/>
        <v>1.2055434190365688</v>
      </c>
      <c r="AG71">
        <f t="shared" si="5"/>
        <v>2.7450562274136683</v>
      </c>
      <c r="AH71">
        <f t="shared" si="6"/>
        <v>1</v>
      </c>
      <c r="AI71">
        <f t="shared" si="7"/>
        <v>5.703975253423051</v>
      </c>
      <c r="AJ71">
        <f t="shared" si="8"/>
        <v>2.7996654831610313</v>
      </c>
      <c r="AK71">
        <f t="shared" si="9"/>
        <v>164.7033736448201</v>
      </c>
      <c r="AL71">
        <f t="shared" si="10"/>
        <v>73.85018772992186</v>
      </c>
      <c r="AM71">
        <f t="shared" si="11"/>
        <v>2.3850187729921863</v>
      </c>
      <c r="AN71">
        <f t="shared" si="12"/>
        <v>13.902780538267843</v>
      </c>
      <c r="AO71">
        <f t="shared" si="13"/>
        <v>162.4734768009502</v>
      </c>
      <c r="AP71">
        <f t="shared" si="14"/>
        <v>0.258165653163892</v>
      </c>
      <c r="AQ71">
        <f t="shared" si="15"/>
        <v>71.816227456291</v>
      </c>
      <c r="AR71">
        <f t="shared" si="16"/>
        <v>18.963673707791344</v>
      </c>
      <c r="AS71">
        <f t="shared" si="17"/>
        <v>74.27779914987588</v>
      </c>
      <c r="AT71">
        <f t="shared" si="18"/>
        <v>0.29711119659950347</v>
      </c>
    </row>
    <row r="72" spans="4:46" ht="18" customHeight="1">
      <c r="D72" s="2"/>
      <c r="AA72">
        <f t="shared" si="33"/>
        <v>81.16096677573573</v>
      </c>
      <c r="AB72">
        <f t="shared" si="34"/>
        <v>71.90010774282636</v>
      </c>
      <c r="AC72" s="2">
        <f t="shared" si="40"/>
        <v>61.23271881956531</v>
      </c>
      <c r="AD72">
        <f t="shared" si="20"/>
        <v>70.07254993056665</v>
      </c>
      <c r="AE72">
        <f>AC72*PI()/180</f>
        <v>1.0687125533493103</v>
      </c>
      <c r="AF72">
        <f>AD72*PI()/180</f>
        <v>1.222996711556512</v>
      </c>
      <c r="AG72">
        <f t="shared" si="5"/>
        <v>2.7450562274136683</v>
      </c>
      <c r="AH72">
        <f t="shared" si="6"/>
        <v>1</v>
      </c>
      <c r="AI72">
        <f t="shared" si="7"/>
        <v>5.703975253423051</v>
      </c>
      <c r="AJ72">
        <f t="shared" si="8"/>
        <v>2.9340140450929098</v>
      </c>
      <c r="AK72">
        <f t="shared" si="9"/>
        <v>164.7033736448201</v>
      </c>
      <c r="AL72">
        <f t="shared" si="10"/>
        <v>72.41660206428065</v>
      </c>
      <c r="AM72">
        <f t="shared" si="11"/>
        <v>2.241660206428066</v>
      </c>
      <c r="AN72">
        <f t="shared" si="12"/>
        <v>12.281675779481244</v>
      </c>
      <c r="AO72">
        <f t="shared" si="13"/>
        <v>162.66324340762353</v>
      </c>
      <c r="AP72">
        <f t="shared" si="14"/>
        <v>0.2556628689411047</v>
      </c>
      <c r="AQ72">
        <f t="shared" si="15"/>
        <v>71.90010774282636</v>
      </c>
      <c r="AR72">
        <f t="shared" si="16"/>
        <v>18.7934519038441</v>
      </c>
      <c r="AS72">
        <f t="shared" si="17"/>
        <v>74.31567350089846</v>
      </c>
      <c r="AT72">
        <f t="shared" si="18"/>
        <v>0.29726269400359384</v>
      </c>
    </row>
    <row r="73" spans="4:46" ht="18" customHeight="1">
      <c r="D73" s="2"/>
      <c r="AA73">
        <f t="shared" si="33"/>
        <v>81.16096677573573</v>
      </c>
      <c r="AB73">
        <f t="shared" si="34"/>
        <v>71.93124771643248</v>
      </c>
      <c r="AC73" s="2">
        <f t="shared" si="40"/>
        <v>61.23271881956531</v>
      </c>
      <c r="AD73">
        <f t="shared" si="20"/>
        <v>71.07254993056665</v>
      </c>
      <c r="AE73">
        <f aca="true" t="shared" si="41" ref="AE73:AE88">AC73*PI()/180</f>
        <v>1.0687125533493103</v>
      </c>
      <c r="AF73">
        <f aca="true" t="shared" si="42" ref="AF73:AF88">AD73*PI()/180</f>
        <v>1.2404500040764552</v>
      </c>
      <c r="AG73">
        <f t="shared" si="5"/>
        <v>2.7450562274136683</v>
      </c>
      <c r="AH73">
        <f t="shared" si="6"/>
        <v>1</v>
      </c>
      <c r="AI73">
        <f t="shared" si="7"/>
        <v>5.703975253423051</v>
      </c>
      <c r="AJ73">
        <f t="shared" si="8"/>
        <v>3.082893028967365</v>
      </c>
      <c r="AK73">
        <f t="shared" si="9"/>
        <v>164.7033736448201</v>
      </c>
      <c r="AL73">
        <f t="shared" si="10"/>
        <v>70.83798801856159</v>
      </c>
      <c r="AM73">
        <f t="shared" si="11"/>
        <v>2.083798801856159</v>
      </c>
      <c r="AN73">
        <f t="shared" si="12"/>
        <v>10.612791487774041</v>
      </c>
      <c r="AO73">
        <f t="shared" si="13"/>
        <v>162.7336929419207</v>
      </c>
      <c r="AP73">
        <f t="shared" si="14"/>
        <v>0.2547343792022482</v>
      </c>
      <c r="AQ73">
        <f t="shared" si="15"/>
        <v>71.93124771643248</v>
      </c>
      <c r="AR73">
        <f t="shared" si="16"/>
        <v>18.730258241768695</v>
      </c>
      <c r="AS73">
        <f t="shared" si="17"/>
        <v>74.32985249444611</v>
      </c>
      <c r="AT73">
        <f t="shared" si="18"/>
        <v>0.29731940997778444</v>
      </c>
    </row>
    <row r="74" spans="4:46" ht="18" customHeight="1">
      <c r="D74" s="2"/>
      <c r="AA74">
        <f t="shared" si="33"/>
        <v>81.16096677573573</v>
      </c>
      <c r="AB74">
        <f t="shared" si="34"/>
        <v>71.90507798603136</v>
      </c>
      <c r="AC74" s="2">
        <f t="shared" si="40"/>
        <v>61.23271881956531</v>
      </c>
      <c r="AD74">
        <f t="shared" si="20"/>
        <v>72.07254993056665</v>
      </c>
      <c r="AE74">
        <f t="shared" si="41"/>
        <v>1.0687125533493103</v>
      </c>
      <c r="AF74">
        <f t="shared" si="42"/>
        <v>1.2579032965963985</v>
      </c>
      <c r="AG74">
        <f t="shared" si="5"/>
        <v>2.7450562274136683</v>
      </c>
      <c r="AH74">
        <f t="shared" si="6"/>
        <v>1</v>
      </c>
      <c r="AI74">
        <f t="shared" si="7"/>
        <v>5.703975253423051</v>
      </c>
      <c r="AJ74">
        <f t="shared" si="8"/>
        <v>3.2487311147086606</v>
      </c>
      <c r="AK74">
        <f t="shared" si="9"/>
        <v>164.7033736448201</v>
      </c>
      <c r="AL74">
        <f t="shared" si="10"/>
        <v>69.09004390867536</v>
      </c>
      <c r="AM74">
        <f t="shared" si="11"/>
        <v>1.9090043908675352</v>
      </c>
      <c r="AN74">
        <f t="shared" si="12"/>
        <v>8.90700955627057</v>
      </c>
      <c r="AO74">
        <f t="shared" si="13"/>
        <v>162.67448783973398</v>
      </c>
      <c r="AP74">
        <f t="shared" si="14"/>
        <v>0.25551464918282385</v>
      </c>
      <c r="AQ74">
        <f t="shared" si="15"/>
        <v>71.90507798603136</v>
      </c>
      <c r="AR74">
        <f t="shared" si="16"/>
        <v>18.783365579639025</v>
      </c>
      <c r="AS74">
        <f t="shared" si="17"/>
        <v>74.31793230893618</v>
      </c>
      <c r="AT74">
        <f t="shared" si="18"/>
        <v>0.29727172923574474</v>
      </c>
    </row>
    <row r="75" spans="4:46" ht="18" customHeight="1">
      <c r="D75" s="2"/>
      <c r="AA75">
        <f t="shared" si="33"/>
        <v>81.16096677573573</v>
      </c>
      <c r="AB75">
        <f t="shared" si="34"/>
        <v>71.81618599451883</v>
      </c>
      <c r="AC75" s="2">
        <f t="shared" si="40"/>
        <v>61.23271881956531</v>
      </c>
      <c r="AD75">
        <f t="shared" si="20"/>
        <v>73.07254993056665</v>
      </c>
      <c r="AE75">
        <f t="shared" si="41"/>
        <v>1.0687125533493103</v>
      </c>
      <c r="AF75">
        <f t="shared" si="42"/>
        <v>1.2753565891163419</v>
      </c>
      <c r="AG75">
        <f t="shared" si="5"/>
        <v>2.7450562274136683</v>
      </c>
      <c r="AH75">
        <f t="shared" si="6"/>
        <v>1</v>
      </c>
      <c r="AI75">
        <f t="shared" si="7"/>
        <v>5.703975253423051</v>
      </c>
      <c r="AJ75">
        <f t="shared" si="8"/>
        <v>3.4345310588205837</v>
      </c>
      <c r="AK75">
        <f t="shared" si="9"/>
        <v>164.7033736448201</v>
      </c>
      <c r="AL75">
        <f t="shared" si="10"/>
        <v>67.14272745037525</v>
      </c>
      <c r="AM75">
        <f t="shared" si="11"/>
        <v>1.7142727450375252</v>
      </c>
      <c r="AN75">
        <f t="shared" si="12"/>
        <v>7.182537538955983</v>
      </c>
      <c r="AO75">
        <f t="shared" si="13"/>
        <v>162.47338299988994</v>
      </c>
      <c r="AP75">
        <f t="shared" si="14"/>
        <v>0.25816689091239703</v>
      </c>
      <c r="AQ75">
        <f t="shared" si="15"/>
        <v>71.81618599451883</v>
      </c>
      <c r="AR75">
        <f t="shared" si="16"/>
        <v>18.963757847914678</v>
      </c>
      <c r="AS75">
        <f t="shared" si="17"/>
        <v>74.27778054380508</v>
      </c>
      <c r="AT75">
        <f t="shared" si="18"/>
        <v>0.29711112217522034</v>
      </c>
    </row>
    <row r="76" spans="4:46" ht="18" customHeight="1">
      <c r="D76" s="2"/>
      <c r="AA76">
        <f t="shared" si="33"/>
        <v>81.29096704614007</v>
      </c>
      <c r="AB76">
        <f t="shared" si="34"/>
        <v>70.85120133164214</v>
      </c>
      <c r="AC76" s="2">
        <f>$AC$75+1</f>
        <v>62.23271881956531</v>
      </c>
      <c r="AD76">
        <f aca="true" t="shared" si="43" ref="AD76:AD98">AD22</f>
        <v>65.07254993056665</v>
      </c>
      <c r="AE76">
        <f t="shared" si="41"/>
        <v>1.0861658458692534</v>
      </c>
      <c r="AF76">
        <f t="shared" si="42"/>
        <v>1.1357302489567955</v>
      </c>
      <c r="AG76">
        <f t="shared" si="5"/>
        <v>2.6325530757367597</v>
      </c>
      <c r="AH76">
        <f t="shared" si="6"/>
        <v>1</v>
      </c>
      <c r="AI76">
        <f t="shared" si="7"/>
        <v>5.650693381928546</v>
      </c>
      <c r="AJ76">
        <f t="shared" si="8"/>
        <v>2.372646286034325</v>
      </c>
      <c r="AK76">
        <f t="shared" si="9"/>
        <v>157.95318454420558</v>
      </c>
      <c r="AL76">
        <f t="shared" si="10"/>
        <v>78.48384235363461</v>
      </c>
      <c r="AM76">
        <f t="shared" si="11"/>
        <v>2.8483842353634614</v>
      </c>
      <c r="AN76">
        <f t="shared" si="12"/>
        <v>19.8296573853434</v>
      </c>
      <c r="AO76">
        <f t="shared" si="13"/>
        <v>154.83022361501594</v>
      </c>
      <c r="AP76">
        <f t="shared" si="14"/>
        <v>0.2788461309908728</v>
      </c>
      <c r="AQ76">
        <f t="shared" si="15"/>
        <v>70.85120133164214</v>
      </c>
      <c r="AR76">
        <f t="shared" si="16"/>
        <v>20.285085790213373</v>
      </c>
      <c r="AS76">
        <f t="shared" si="17"/>
        <v>73.6978794515365</v>
      </c>
      <c r="AT76">
        <f t="shared" si="18"/>
        <v>0.294791517806146</v>
      </c>
    </row>
    <row r="77" spans="4:46" ht="18" customHeight="1">
      <c r="D77" s="2"/>
      <c r="AA77">
        <f t="shared" si="33"/>
        <v>81.29096704614007</v>
      </c>
      <c r="AB77">
        <f t="shared" si="34"/>
        <v>71.11686929389484</v>
      </c>
      <c r="AC77" s="2">
        <f>AC76</f>
        <v>62.23271881956531</v>
      </c>
      <c r="AD77">
        <f t="shared" si="43"/>
        <v>66.07254993056665</v>
      </c>
      <c r="AE77">
        <f t="shared" si="41"/>
        <v>1.0861658458692534</v>
      </c>
      <c r="AF77">
        <f t="shared" si="42"/>
        <v>1.1531835414767388</v>
      </c>
      <c r="AG77">
        <f t="shared" si="5"/>
        <v>2.6325530757367597</v>
      </c>
      <c r="AH77">
        <f t="shared" si="6"/>
        <v>1</v>
      </c>
      <c r="AI77">
        <f t="shared" si="7"/>
        <v>5.650693381928546</v>
      </c>
      <c r="AJ77">
        <f t="shared" si="8"/>
        <v>2.465607524585725</v>
      </c>
      <c r="AK77">
        <f t="shared" si="9"/>
        <v>157.95318454420558</v>
      </c>
      <c r="AL77">
        <f t="shared" si="10"/>
        <v>77.4628740401671</v>
      </c>
      <c r="AM77">
        <f t="shared" si="11"/>
        <v>2.7462874040167087</v>
      </c>
      <c r="AN77">
        <f t="shared" si="12"/>
        <v>18.433594667144067</v>
      </c>
      <c r="AO77">
        <f t="shared" si="13"/>
        <v>155.41078441327807</v>
      </c>
      <c r="AP77">
        <f t="shared" si="14"/>
        <v>0.2711320944346507</v>
      </c>
      <c r="AQ77">
        <f t="shared" si="15"/>
        <v>71.11686929389484</v>
      </c>
      <c r="AR77">
        <f t="shared" si="16"/>
        <v>19.768877136361795</v>
      </c>
      <c r="AS77">
        <f t="shared" si="17"/>
        <v>73.81339716743493</v>
      </c>
      <c r="AT77">
        <f t="shared" si="18"/>
        <v>0.2952535886697397</v>
      </c>
    </row>
    <row r="78" spans="4:46" ht="18" customHeight="1">
      <c r="D78" s="2"/>
      <c r="AA78">
        <f t="shared" si="33"/>
        <v>81.29096704614007</v>
      </c>
      <c r="AB78">
        <f t="shared" si="34"/>
        <v>71.34087933552647</v>
      </c>
      <c r="AC78" s="2">
        <f aca="true" t="shared" si="44" ref="AC78:AC102">AC77</f>
        <v>62.23271881956531</v>
      </c>
      <c r="AD78">
        <f t="shared" si="43"/>
        <v>67.07254993056665</v>
      </c>
      <c r="AE78">
        <f t="shared" si="41"/>
        <v>1.0861658458692534</v>
      </c>
      <c r="AF78">
        <f t="shared" si="42"/>
        <v>1.1706368339966822</v>
      </c>
      <c r="AG78">
        <f t="shared" si="5"/>
        <v>2.6325530757367597</v>
      </c>
      <c r="AH78">
        <f t="shared" si="6"/>
        <v>1</v>
      </c>
      <c r="AI78">
        <f t="shared" si="7"/>
        <v>5.650693381928546</v>
      </c>
      <c r="AJ78">
        <f t="shared" si="8"/>
        <v>2.566964137066278</v>
      </c>
      <c r="AK78">
        <f t="shared" si="9"/>
        <v>157.95318454420558</v>
      </c>
      <c r="AL78">
        <f t="shared" si="10"/>
        <v>76.35828923071678</v>
      </c>
      <c r="AM78">
        <f t="shared" si="11"/>
        <v>2.6358289230716783</v>
      </c>
      <c r="AN78">
        <f t="shared" si="12"/>
        <v>16.980579290568254</v>
      </c>
      <c r="AO78">
        <f t="shared" si="13"/>
        <v>155.90031069068706</v>
      </c>
      <c r="AP78">
        <f t="shared" si="14"/>
        <v>0.2646467086310283</v>
      </c>
      <c r="AQ78">
        <f t="shared" si="15"/>
        <v>71.34087933552647</v>
      </c>
      <c r="AR78">
        <f t="shared" si="16"/>
        <v>19.33361230028828</v>
      </c>
      <c r="AS78">
        <f t="shared" si="17"/>
        <v>73.91420451404457</v>
      </c>
      <c r="AT78">
        <f t="shared" si="18"/>
        <v>0.29565681805617827</v>
      </c>
    </row>
    <row r="79" spans="4:46" ht="18" customHeight="1">
      <c r="D79" s="2"/>
      <c r="AA79">
        <f t="shared" si="33"/>
        <v>81.29096704614007</v>
      </c>
      <c r="AB79">
        <f t="shared" si="34"/>
        <v>71.52097672923811</v>
      </c>
      <c r="AC79" s="2">
        <f t="shared" si="44"/>
        <v>62.23271881956531</v>
      </c>
      <c r="AD79">
        <f t="shared" si="43"/>
        <v>68.07254993056665</v>
      </c>
      <c r="AE79">
        <f t="shared" si="41"/>
        <v>1.0861658458692534</v>
      </c>
      <c r="AF79">
        <f t="shared" si="42"/>
        <v>1.1880901265166253</v>
      </c>
      <c r="AG79">
        <f t="shared" si="5"/>
        <v>2.6325530757367597</v>
      </c>
      <c r="AH79">
        <f t="shared" si="6"/>
        <v>1</v>
      </c>
      <c r="AI79">
        <f t="shared" si="7"/>
        <v>5.650693381928546</v>
      </c>
      <c r="AJ79">
        <f t="shared" si="8"/>
        <v>2.6778618385575714</v>
      </c>
      <c r="AK79">
        <f t="shared" si="9"/>
        <v>157.95318454420558</v>
      </c>
      <c r="AL79">
        <f t="shared" si="10"/>
        <v>75.1586151223348</v>
      </c>
      <c r="AM79">
        <f t="shared" si="11"/>
        <v>2.5158615122334793</v>
      </c>
      <c r="AN79">
        <f t="shared" si="12"/>
        <v>15.470043193580436</v>
      </c>
      <c r="AO79">
        <f t="shared" si="13"/>
        <v>156.29387522052946</v>
      </c>
      <c r="AP79">
        <f t="shared" si="14"/>
        <v>0.259445637171955</v>
      </c>
      <c r="AQ79">
        <f t="shared" si="15"/>
        <v>71.52097672923811</v>
      </c>
      <c r="AR79">
        <f t="shared" si="16"/>
        <v>18.98367235125653</v>
      </c>
      <c r="AS79">
        <f t="shared" si="17"/>
        <v>73.99749947291518</v>
      </c>
      <c r="AT79">
        <f t="shared" si="18"/>
        <v>0.2959899978916607</v>
      </c>
    </row>
    <row r="80" spans="4:46" ht="18" customHeight="1">
      <c r="D80" s="2"/>
      <c r="AA80">
        <f t="shared" si="33"/>
        <v>81.29096704614007</v>
      </c>
      <c r="AB80">
        <f t="shared" si="34"/>
        <v>71.65440417494382</v>
      </c>
      <c r="AC80" s="2">
        <f t="shared" si="44"/>
        <v>62.23271881956531</v>
      </c>
      <c r="AD80">
        <f t="shared" si="43"/>
        <v>69.07254993056665</v>
      </c>
      <c r="AE80">
        <f t="shared" si="41"/>
        <v>1.0861658458692534</v>
      </c>
      <c r="AF80">
        <f t="shared" si="42"/>
        <v>1.2055434190365688</v>
      </c>
      <c r="AG80">
        <f t="shared" si="5"/>
        <v>2.6325530757367597</v>
      </c>
      <c r="AH80">
        <f t="shared" si="6"/>
        <v>1</v>
      </c>
      <c r="AI80">
        <f t="shared" si="7"/>
        <v>5.650693381928546</v>
      </c>
      <c r="AJ80">
        <f t="shared" si="8"/>
        <v>2.7996654831610313</v>
      </c>
      <c r="AK80">
        <f t="shared" si="9"/>
        <v>157.95318454420558</v>
      </c>
      <c r="AL80">
        <f t="shared" si="10"/>
        <v>73.85018772992186</v>
      </c>
      <c r="AM80">
        <f t="shared" si="11"/>
        <v>2.3850187729921863</v>
      </c>
      <c r="AN80">
        <f t="shared" si="12"/>
        <v>13.902780538267843</v>
      </c>
      <c r="AO80">
        <f t="shared" si="13"/>
        <v>156.58545251021147</v>
      </c>
      <c r="AP80">
        <f t="shared" si="14"/>
        <v>0.2555999765339557</v>
      </c>
      <c r="AQ80">
        <f t="shared" si="15"/>
        <v>71.65440417494382</v>
      </c>
      <c r="AR80">
        <f t="shared" si="16"/>
        <v>18.724414887350946</v>
      </c>
      <c r="AS80">
        <f t="shared" si="17"/>
        <v>74.06049790907335</v>
      </c>
      <c r="AT80">
        <f t="shared" si="18"/>
        <v>0.2962419916362934</v>
      </c>
    </row>
    <row r="81" spans="4:46" ht="18" customHeight="1">
      <c r="D81" s="2"/>
      <c r="AA81">
        <f t="shared" si="33"/>
        <v>81.29096704614007</v>
      </c>
      <c r="AB81">
        <f t="shared" si="34"/>
        <v>71.73782846203486</v>
      </c>
      <c r="AC81" s="2">
        <f t="shared" si="44"/>
        <v>62.23271881956531</v>
      </c>
      <c r="AD81">
        <f t="shared" si="43"/>
        <v>70.07254993056665</v>
      </c>
      <c r="AE81">
        <f t="shared" si="41"/>
        <v>1.0861658458692534</v>
      </c>
      <c r="AF81">
        <f t="shared" si="42"/>
        <v>1.222996711556512</v>
      </c>
      <c r="AG81">
        <f t="shared" si="5"/>
        <v>2.6325530757367597</v>
      </c>
      <c r="AH81">
        <f t="shared" si="6"/>
        <v>1</v>
      </c>
      <c r="AI81">
        <f t="shared" si="7"/>
        <v>5.650693381928546</v>
      </c>
      <c r="AJ81">
        <f t="shared" si="8"/>
        <v>2.9340140450929098</v>
      </c>
      <c r="AK81">
        <f t="shared" si="9"/>
        <v>157.95318454420558</v>
      </c>
      <c r="AL81">
        <f t="shared" si="10"/>
        <v>72.41660206428065</v>
      </c>
      <c r="AM81">
        <f t="shared" si="11"/>
        <v>2.241660206428066</v>
      </c>
      <c r="AN81">
        <f t="shared" si="12"/>
        <v>12.281675779481244</v>
      </c>
      <c r="AO81">
        <f t="shared" si="13"/>
        <v>156.76775853724365</v>
      </c>
      <c r="AP81">
        <f t="shared" si="14"/>
        <v>0.25319885646988693</v>
      </c>
      <c r="AQ81">
        <f t="shared" si="15"/>
        <v>71.73782846203486</v>
      </c>
      <c r="AR81">
        <f t="shared" si="16"/>
        <v>18.562316535059466</v>
      </c>
      <c r="AS81">
        <f t="shared" si="17"/>
        <v>74.10044282995939</v>
      </c>
      <c r="AT81">
        <f t="shared" si="18"/>
        <v>0.2964017713198375</v>
      </c>
    </row>
    <row r="82" spans="4:46" ht="18" customHeight="1">
      <c r="D82" s="2"/>
      <c r="AA82">
        <f t="shared" si="33"/>
        <v>81.29096704614007</v>
      </c>
      <c r="AB82">
        <f t="shared" si="34"/>
        <v>71.76725421510422</v>
      </c>
      <c r="AC82" s="2">
        <f t="shared" si="44"/>
        <v>62.23271881956531</v>
      </c>
      <c r="AD82">
        <f t="shared" si="43"/>
        <v>71.07254993056665</v>
      </c>
      <c r="AE82">
        <f t="shared" si="41"/>
        <v>1.0861658458692534</v>
      </c>
      <c r="AF82">
        <f t="shared" si="42"/>
        <v>1.2404500040764552</v>
      </c>
      <c r="AG82">
        <f t="shared" si="5"/>
        <v>2.6325530757367597</v>
      </c>
      <c r="AH82">
        <f t="shared" si="6"/>
        <v>1</v>
      </c>
      <c r="AI82">
        <f t="shared" si="7"/>
        <v>5.650693381928546</v>
      </c>
      <c r="AJ82">
        <f t="shared" si="8"/>
        <v>3.082893028967365</v>
      </c>
      <c r="AK82">
        <f t="shared" si="9"/>
        <v>157.95318454420558</v>
      </c>
      <c r="AL82">
        <f t="shared" si="10"/>
        <v>70.83798801856159</v>
      </c>
      <c r="AM82">
        <f t="shared" si="11"/>
        <v>2.083798801856159</v>
      </c>
      <c r="AN82">
        <f t="shared" si="12"/>
        <v>10.612791487774041</v>
      </c>
      <c r="AO82">
        <f t="shared" si="13"/>
        <v>156.8320622588763</v>
      </c>
      <c r="AP82">
        <f t="shared" si="14"/>
        <v>0.25235254300329857</v>
      </c>
      <c r="AQ82">
        <f t="shared" si="15"/>
        <v>71.76725421510422</v>
      </c>
      <c r="AR82">
        <f t="shared" si="16"/>
        <v>18.505140546461888</v>
      </c>
      <c r="AS82">
        <f t="shared" si="17"/>
        <v>74.11463421092829</v>
      </c>
      <c r="AT82">
        <f t="shared" si="18"/>
        <v>0.29645853684371315</v>
      </c>
    </row>
    <row r="83" spans="4:46" ht="18" customHeight="1">
      <c r="D83" s="2"/>
      <c r="AA83">
        <f t="shared" si="33"/>
        <v>81.29096704614007</v>
      </c>
      <c r="AB83">
        <f t="shared" si="34"/>
        <v>71.73792483817833</v>
      </c>
      <c r="AC83" s="2">
        <f t="shared" si="44"/>
        <v>62.23271881956531</v>
      </c>
      <c r="AD83">
        <f t="shared" si="43"/>
        <v>72.07254993056665</v>
      </c>
      <c r="AE83">
        <f t="shared" si="41"/>
        <v>1.0861658458692534</v>
      </c>
      <c r="AF83">
        <f t="shared" si="42"/>
        <v>1.2579032965963985</v>
      </c>
      <c r="AG83">
        <f t="shared" si="5"/>
        <v>2.6325530757367597</v>
      </c>
      <c r="AH83">
        <f t="shared" si="6"/>
        <v>1</v>
      </c>
      <c r="AI83">
        <f t="shared" si="7"/>
        <v>5.650693381928546</v>
      </c>
      <c r="AJ83">
        <f t="shared" si="8"/>
        <v>3.2487311147086606</v>
      </c>
      <c r="AK83">
        <f t="shared" si="9"/>
        <v>157.95318454420558</v>
      </c>
      <c r="AL83">
        <f t="shared" si="10"/>
        <v>69.09004390867536</v>
      </c>
      <c r="AM83">
        <f t="shared" si="11"/>
        <v>1.9090043908675352</v>
      </c>
      <c r="AN83">
        <f t="shared" si="12"/>
        <v>8.90700955627057</v>
      </c>
      <c r="AO83">
        <f t="shared" si="13"/>
        <v>156.7679691467967</v>
      </c>
      <c r="AP83">
        <f t="shared" si="14"/>
        <v>0.2531960840688573</v>
      </c>
      <c r="AQ83">
        <f t="shared" si="15"/>
        <v>71.73792483817833</v>
      </c>
      <c r="AR83">
        <f t="shared" si="16"/>
        <v>18.5621292704798</v>
      </c>
      <c r="AS83">
        <f t="shared" si="17"/>
        <v>74.10048922336564</v>
      </c>
      <c r="AT83">
        <f t="shared" si="18"/>
        <v>0.29640195689346255</v>
      </c>
    </row>
    <row r="84" spans="4:46" ht="18" customHeight="1">
      <c r="D84" s="2"/>
      <c r="AA84">
        <f t="shared" si="33"/>
        <v>81.29096704614007</v>
      </c>
      <c r="AB84">
        <f t="shared" si="34"/>
        <v>71.644213286464</v>
      </c>
      <c r="AC84" s="2">
        <f t="shared" si="44"/>
        <v>62.23271881956531</v>
      </c>
      <c r="AD84">
        <f t="shared" si="43"/>
        <v>73.07254993056665</v>
      </c>
      <c r="AE84">
        <f t="shared" si="41"/>
        <v>1.0861658458692534</v>
      </c>
      <c r="AF84">
        <f t="shared" si="42"/>
        <v>1.2753565891163419</v>
      </c>
      <c r="AG84">
        <f t="shared" si="5"/>
        <v>2.6325530757367597</v>
      </c>
      <c r="AH84">
        <f t="shared" si="6"/>
        <v>1</v>
      </c>
      <c r="AI84">
        <f t="shared" si="7"/>
        <v>5.650693381928546</v>
      </c>
      <c r="AJ84">
        <f t="shared" si="8"/>
        <v>3.4345310588205837</v>
      </c>
      <c r="AK84">
        <f t="shared" si="9"/>
        <v>157.95318454420558</v>
      </c>
      <c r="AL84">
        <f t="shared" si="10"/>
        <v>67.14272745037525</v>
      </c>
      <c r="AM84">
        <f t="shared" si="11"/>
        <v>1.7142727450375252</v>
      </c>
      <c r="AN84">
        <f t="shared" si="12"/>
        <v>7.182537538955983</v>
      </c>
      <c r="AO84">
        <f t="shared" si="13"/>
        <v>156.5631824920253</v>
      </c>
      <c r="AP84">
        <f t="shared" si="14"/>
        <v>0.2558934681028621</v>
      </c>
      <c r="AQ84">
        <f t="shared" si="15"/>
        <v>71.644213286464</v>
      </c>
      <c r="AR84">
        <f t="shared" si="16"/>
        <v>18.74421638986979</v>
      </c>
      <c r="AS84">
        <f t="shared" si="17"/>
        <v>74.05564762735256</v>
      </c>
      <c r="AT84">
        <f t="shared" si="18"/>
        <v>0.29622259050941024</v>
      </c>
    </row>
    <row r="85" spans="4:46" ht="18" customHeight="1">
      <c r="D85" s="2"/>
      <c r="AA85">
        <f t="shared" si="33"/>
        <v>81.25154959300555</v>
      </c>
      <c r="AB85">
        <f t="shared" si="34"/>
        <v>70.59626241376793</v>
      </c>
      <c r="AC85" s="2">
        <f>$AC$84+1</f>
        <v>63.23271881956531</v>
      </c>
      <c r="AD85">
        <f t="shared" si="43"/>
        <v>65.07254993056665</v>
      </c>
      <c r="AE85">
        <f t="shared" si="41"/>
        <v>1.103619138389197</v>
      </c>
      <c r="AF85">
        <f t="shared" si="42"/>
        <v>1.1357302489567955</v>
      </c>
      <c r="AG85">
        <f t="shared" si="5"/>
        <v>2.522098963072243</v>
      </c>
      <c r="AH85">
        <f t="shared" si="6"/>
        <v>1</v>
      </c>
      <c r="AI85">
        <f t="shared" si="7"/>
        <v>5.600087783198589</v>
      </c>
      <c r="AJ85">
        <f t="shared" si="8"/>
        <v>2.372646286034325</v>
      </c>
      <c r="AK85">
        <f t="shared" si="9"/>
        <v>151.3259377843346</v>
      </c>
      <c r="AL85">
        <f t="shared" si="10"/>
        <v>78.48384235363461</v>
      </c>
      <c r="AM85">
        <f t="shared" si="11"/>
        <v>2.8483842353634614</v>
      </c>
      <c r="AN85">
        <f t="shared" si="12"/>
        <v>19.8296573853434</v>
      </c>
      <c r="AO85">
        <f t="shared" si="13"/>
        <v>149.23511652462656</v>
      </c>
      <c r="AP85">
        <f t="shared" si="14"/>
        <v>0.2740310364151588</v>
      </c>
      <c r="AQ85">
        <f t="shared" si="15"/>
        <v>70.59626241376793</v>
      </c>
      <c r="AR85">
        <f t="shared" si="16"/>
        <v>19.844807057050076</v>
      </c>
      <c r="AS85">
        <f t="shared" si="17"/>
        <v>73.33245280177889</v>
      </c>
      <c r="AT85">
        <f t="shared" si="18"/>
        <v>0.29332981120711554</v>
      </c>
    </row>
    <row r="86" spans="4:46" ht="18" customHeight="1">
      <c r="D86" s="2"/>
      <c r="AA86">
        <f t="shared" si="33"/>
        <v>81.25154959300555</v>
      </c>
      <c r="AB86">
        <f t="shared" si="34"/>
        <v>70.86312719774318</v>
      </c>
      <c r="AC86" s="2">
        <f t="shared" si="44"/>
        <v>63.23271881956531</v>
      </c>
      <c r="AD86">
        <f t="shared" si="43"/>
        <v>66.07254993056665</v>
      </c>
      <c r="AE86">
        <f t="shared" si="41"/>
        <v>1.103619138389197</v>
      </c>
      <c r="AF86">
        <f t="shared" si="42"/>
        <v>1.1531835414767388</v>
      </c>
      <c r="AG86">
        <f t="shared" si="5"/>
        <v>2.522098963072243</v>
      </c>
      <c r="AH86">
        <f t="shared" si="6"/>
        <v>1</v>
      </c>
      <c r="AI86">
        <f t="shared" si="7"/>
        <v>5.600087783198589</v>
      </c>
      <c r="AJ86">
        <f t="shared" si="8"/>
        <v>2.465607524585725</v>
      </c>
      <c r="AK86">
        <f t="shared" si="9"/>
        <v>151.3259377843346</v>
      </c>
      <c r="AL86">
        <f t="shared" si="10"/>
        <v>77.4628740401671</v>
      </c>
      <c r="AM86">
        <f t="shared" si="11"/>
        <v>2.7462874040167087</v>
      </c>
      <c r="AN86">
        <f t="shared" si="12"/>
        <v>18.433594667144067</v>
      </c>
      <c r="AO86">
        <f t="shared" si="13"/>
        <v>149.79924833233397</v>
      </c>
      <c r="AP86">
        <f t="shared" si="14"/>
        <v>0.26653417023202275</v>
      </c>
      <c r="AQ86">
        <f t="shared" si="15"/>
        <v>70.86312719774318</v>
      </c>
      <c r="AR86">
        <f t="shared" si="16"/>
        <v>19.34778805988691</v>
      </c>
      <c r="AS86">
        <f t="shared" si="17"/>
        <v>73.45692410558607</v>
      </c>
      <c r="AT86">
        <f t="shared" si="18"/>
        <v>0.2938276964223443</v>
      </c>
    </row>
    <row r="87" spans="4:46" ht="18" customHeight="1">
      <c r="D87" s="2"/>
      <c r="AA87">
        <f t="shared" si="33"/>
        <v>81.25154959300555</v>
      </c>
      <c r="AB87">
        <f t="shared" si="34"/>
        <v>71.08768706121286</v>
      </c>
      <c r="AC87" s="2">
        <f t="shared" si="44"/>
        <v>63.23271881956531</v>
      </c>
      <c r="AD87">
        <f t="shared" si="43"/>
        <v>67.07254993056665</v>
      </c>
      <c r="AE87">
        <f t="shared" si="41"/>
        <v>1.103619138389197</v>
      </c>
      <c r="AF87">
        <f t="shared" si="42"/>
        <v>1.1706368339966822</v>
      </c>
      <c r="AG87">
        <f aca="true" t="shared" si="45" ref="AG87:AG96">AI87*COS(AE87)</f>
        <v>2.522098963072243</v>
      </c>
      <c r="AH87">
        <f aca="true" t="shared" si="46" ref="AH87:AH96">MIN(Lh,AJ87*COS(AF87))</f>
        <v>1</v>
      </c>
      <c r="AI87">
        <f aca="true" t="shared" si="47" ref="AI87:AI96">HA/SIN(AE87-β)*COS(β)</f>
        <v>5.600087783198589</v>
      </c>
      <c r="AJ87">
        <f aca="true" t="shared" si="48" ref="AJ87:AJ96">IF(AF87&gt;=ωL2,HA/SIN(AF87+β)*COS(β),(Lh-H*TAN(α))/COS(AF87+α))</f>
        <v>2.566964137066278</v>
      </c>
      <c r="AK87">
        <f aca="true" t="shared" si="49" ref="AK87:AK96">0.5*γ*HA*AG87+AG87*qr</f>
        <v>151.3259377843346</v>
      </c>
      <c r="AL87">
        <f aca="true" t="shared" si="50" ref="AL87:AL96">0.5*γ/SIN(AF87+β)*(HA^2*COS(AF87)*COS(β)-(AM87/COS(α))^2*COS(AF87+α)*COS(β-α))+AH87*qf</f>
        <v>76.35828923071678</v>
      </c>
      <c r="AM87">
        <f aca="true" t="shared" si="51" ref="AM87:AM96">MAX(0,H-AJ87*SIN(AF87))</f>
        <v>2.6358289230716783</v>
      </c>
      <c r="AN87">
        <f aca="true" t="shared" si="52" ref="AN87:AN96">IF(AM87=0,0,0.5*γ*AM87^2*Kac*(1+2*qf*COS(α)*COS(β)/(γ*AM87*COS(α-β))))</f>
        <v>16.980579290568254</v>
      </c>
      <c r="AO87">
        <f aca="true" t="shared" si="53" ref="AO87:AO96">((AK87+AL87)/COS(θ)*SIN(AF87-φ-θ)+AN87*COS(AF87-φ+δc+α))/SIN(AE87+AF87-2*φ)</f>
        <v>150.2739507633952</v>
      </c>
      <c r="AP87">
        <f aca="true" t="shared" si="54" ref="AP87:AP96">ATAN((AK87-AO87*COS(AE87-φ))/(AO87*SIN(AE87-φ)+AK87*TAN(θ)))</f>
        <v>0.26024569627619953</v>
      </c>
      <c r="AQ87">
        <f aca="true" t="shared" si="55" ref="AQ87:AQ96">AO87*SIN(AE87-φ)+AK87*TAN(θ)</f>
        <v>71.08768706121286</v>
      </c>
      <c r="AR87">
        <f aca="true" t="shared" si="56" ref="AR87:AR96">AK87-AO87*COS(AE87-φ)</f>
        <v>18.929559335653494</v>
      </c>
      <c r="AS87">
        <f aca="true" t="shared" si="57" ref="AS87:AS96">AQ87/COS(AP87)</f>
        <v>73.5648521262359</v>
      </c>
      <c r="AT87">
        <f aca="true" t="shared" si="58" ref="AT87:AT96">2*AS87/γ/HA^2</f>
        <v>0.29425940850494364</v>
      </c>
    </row>
    <row r="88" spans="4:46" ht="18" customHeight="1">
      <c r="D88" s="2"/>
      <c r="AA88">
        <f t="shared" si="33"/>
        <v>81.25154959300555</v>
      </c>
      <c r="AB88">
        <f t="shared" si="34"/>
        <v>71.2675696382911</v>
      </c>
      <c r="AC88" s="2">
        <f t="shared" si="44"/>
        <v>63.23271881956531</v>
      </c>
      <c r="AD88">
        <f t="shared" si="43"/>
        <v>68.07254993056665</v>
      </c>
      <c r="AE88">
        <f t="shared" si="41"/>
        <v>1.103619138389197</v>
      </c>
      <c r="AF88">
        <f t="shared" si="42"/>
        <v>1.1880901265166253</v>
      </c>
      <c r="AG88">
        <f t="shared" si="45"/>
        <v>2.522098963072243</v>
      </c>
      <c r="AH88">
        <f t="shared" si="46"/>
        <v>1</v>
      </c>
      <c r="AI88">
        <f t="shared" si="47"/>
        <v>5.600087783198589</v>
      </c>
      <c r="AJ88">
        <f t="shared" si="48"/>
        <v>2.6778618385575714</v>
      </c>
      <c r="AK88">
        <f t="shared" si="49"/>
        <v>151.3259377843346</v>
      </c>
      <c r="AL88">
        <f t="shared" si="50"/>
        <v>75.1586151223348</v>
      </c>
      <c r="AM88">
        <f t="shared" si="51"/>
        <v>2.5158615122334793</v>
      </c>
      <c r="AN88">
        <f t="shared" si="52"/>
        <v>15.470043193580436</v>
      </c>
      <c r="AO88">
        <f t="shared" si="53"/>
        <v>150.65420881719533</v>
      </c>
      <c r="AP88">
        <f t="shared" si="54"/>
        <v>0.2552217945656021</v>
      </c>
      <c r="AQ88">
        <f t="shared" si="55"/>
        <v>71.2675696382911</v>
      </c>
      <c r="AR88">
        <f t="shared" si="56"/>
        <v>18.59453926768211</v>
      </c>
      <c r="AS88">
        <f t="shared" si="57"/>
        <v>73.65340027945787</v>
      </c>
      <c r="AT88">
        <f t="shared" si="58"/>
        <v>0.29461360111783147</v>
      </c>
    </row>
    <row r="89" spans="4:46" ht="18" customHeight="1">
      <c r="D89" s="2"/>
      <c r="AA89">
        <f t="shared" si="33"/>
        <v>81.25154959300555</v>
      </c>
      <c r="AB89">
        <f t="shared" si="34"/>
        <v>71.39988702192863</v>
      </c>
      <c r="AC89" s="2">
        <f t="shared" si="44"/>
        <v>63.23271881956531</v>
      </c>
      <c r="AD89">
        <f t="shared" si="43"/>
        <v>69.07254993056665</v>
      </c>
      <c r="AE89">
        <f>AC89*PI()/180</f>
        <v>1.103619138389197</v>
      </c>
      <c r="AF89">
        <f>AD89*PI()/180</f>
        <v>1.2055434190365688</v>
      </c>
      <c r="AG89">
        <f t="shared" si="45"/>
        <v>2.522098963072243</v>
      </c>
      <c r="AH89">
        <f t="shared" si="46"/>
        <v>1</v>
      </c>
      <c r="AI89">
        <f t="shared" si="47"/>
        <v>5.600087783198589</v>
      </c>
      <c r="AJ89">
        <f t="shared" si="48"/>
        <v>2.7996654831610313</v>
      </c>
      <c r="AK89">
        <f t="shared" si="49"/>
        <v>151.3259377843346</v>
      </c>
      <c r="AL89">
        <f t="shared" si="50"/>
        <v>73.85018772992186</v>
      </c>
      <c r="AM89">
        <f t="shared" si="51"/>
        <v>2.3850187729921863</v>
      </c>
      <c r="AN89">
        <f t="shared" si="52"/>
        <v>13.902780538267843</v>
      </c>
      <c r="AO89">
        <f t="shared" si="53"/>
        <v>150.9339176784045</v>
      </c>
      <c r="AP89">
        <f t="shared" si="54"/>
        <v>0.2515341012636057</v>
      </c>
      <c r="AQ89">
        <f t="shared" si="55"/>
        <v>71.39988702192863</v>
      </c>
      <c r="AR89">
        <f t="shared" si="56"/>
        <v>18.34810640253167</v>
      </c>
      <c r="AS89">
        <f t="shared" si="57"/>
        <v>73.71971836152657</v>
      </c>
      <c r="AT89">
        <f t="shared" si="58"/>
        <v>0.2948788734461063</v>
      </c>
    </row>
    <row r="90" spans="4:46" ht="18" customHeight="1">
      <c r="D90" s="2"/>
      <c r="AA90">
        <f t="shared" si="33"/>
        <v>81.25154959300555</v>
      </c>
      <c r="AB90">
        <f t="shared" si="34"/>
        <v>71.48115953615243</v>
      </c>
      <c r="AC90" s="2">
        <f t="shared" si="44"/>
        <v>63.23271881956531</v>
      </c>
      <c r="AD90">
        <f t="shared" si="43"/>
        <v>70.07254993056665</v>
      </c>
      <c r="AE90">
        <f aca="true" t="shared" si="59" ref="AE90:AE102">AC90*PI()/180</f>
        <v>1.103619138389197</v>
      </c>
      <c r="AF90">
        <f aca="true" t="shared" si="60" ref="AF90:AF102">AD90*PI()/180</f>
        <v>1.222996711556512</v>
      </c>
      <c r="AG90">
        <f t="shared" si="45"/>
        <v>2.522098963072243</v>
      </c>
      <c r="AH90">
        <f t="shared" si="46"/>
        <v>1</v>
      </c>
      <c r="AI90">
        <f t="shared" si="47"/>
        <v>5.600087783198589</v>
      </c>
      <c r="AJ90">
        <f t="shared" si="48"/>
        <v>2.9340140450929098</v>
      </c>
      <c r="AK90">
        <f t="shared" si="49"/>
        <v>151.3259377843346</v>
      </c>
      <c r="AL90">
        <f t="shared" si="50"/>
        <v>72.41660206428065</v>
      </c>
      <c r="AM90">
        <f t="shared" si="51"/>
        <v>2.241660206428066</v>
      </c>
      <c r="AN90">
        <f t="shared" si="52"/>
        <v>12.281675779481244</v>
      </c>
      <c r="AO90">
        <f t="shared" si="53"/>
        <v>151.1057215773043</v>
      </c>
      <c r="AP90">
        <f t="shared" si="54"/>
        <v>0.24927233731372672</v>
      </c>
      <c r="AQ90">
        <f t="shared" si="55"/>
        <v>71.48115953615243</v>
      </c>
      <c r="AR90">
        <f t="shared" si="56"/>
        <v>18.196741419431476</v>
      </c>
      <c r="AS90">
        <f t="shared" si="57"/>
        <v>73.76094879350813</v>
      </c>
      <c r="AT90">
        <f t="shared" si="58"/>
        <v>0.29504379517403256</v>
      </c>
    </row>
    <row r="91" spans="1:46" ht="18" customHeight="1">
      <c r="A91" t="s">
        <v>60</v>
      </c>
      <c r="D91" s="2"/>
      <c r="AA91">
        <f t="shared" si="33"/>
        <v>81.25154959300555</v>
      </c>
      <c r="AB91">
        <f t="shared" si="34"/>
        <v>71.5072261524555</v>
      </c>
      <c r="AC91" s="2">
        <f t="shared" si="44"/>
        <v>63.23271881956531</v>
      </c>
      <c r="AD91">
        <f t="shared" si="43"/>
        <v>71.07254993056665</v>
      </c>
      <c r="AE91">
        <f t="shared" si="59"/>
        <v>1.103619138389197</v>
      </c>
      <c r="AF91">
        <f t="shared" si="60"/>
        <v>1.2404500040764552</v>
      </c>
      <c r="AG91">
        <f t="shared" si="45"/>
        <v>2.522098963072243</v>
      </c>
      <c r="AH91">
        <f t="shared" si="46"/>
        <v>1</v>
      </c>
      <c r="AI91">
        <f t="shared" si="47"/>
        <v>5.600087783198589</v>
      </c>
      <c r="AJ91">
        <f t="shared" si="48"/>
        <v>3.082893028967365</v>
      </c>
      <c r="AK91">
        <f t="shared" si="49"/>
        <v>151.3259377843346</v>
      </c>
      <c r="AL91">
        <f t="shared" si="50"/>
        <v>70.83798801856159</v>
      </c>
      <c r="AM91">
        <f t="shared" si="51"/>
        <v>2.083798801856159</v>
      </c>
      <c r="AN91">
        <f t="shared" si="52"/>
        <v>10.612791487774041</v>
      </c>
      <c r="AO91">
        <f t="shared" si="53"/>
        <v>151.1608244168653</v>
      </c>
      <c r="AP91">
        <f t="shared" si="54"/>
        <v>0.24854745624317273</v>
      </c>
      <c r="AQ91">
        <f t="shared" si="55"/>
        <v>71.5072261524555</v>
      </c>
      <c r="AR91">
        <f t="shared" si="56"/>
        <v>18.148193974162012</v>
      </c>
      <c r="AS91">
        <f t="shared" si="57"/>
        <v>73.7742525312336</v>
      </c>
      <c r="AT91">
        <f t="shared" si="58"/>
        <v>0.2950970101249344</v>
      </c>
    </row>
    <row r="92" spans="1:46" ht="18" customHeight="1">
      <c r="A92" t="s">
        <v>61</v>
      </c>
      <c r="D92" s="2"/>
      <c r="AA92">
        <f t="shared" si="33"/>
        <v>81.25154959300555</v>
      </c>
      <c r="AB92">
        <f t="shared" si="34"/>
        <v>71.47314163568426</v>
      </c>
      <c r="AC92" s="2">
        <f t="shared" si="44"/>
        <v>63.23271881956531</v>
      </c>
      <c r="AD92">
        <f t="shared" si="43"/>
        <v>72.07254993056665</v>
      </c>
      <c r="AE92">
        <f t="shared" si="59"/>
        <v>1.103619138389197</v>
      </c>
      <c r="AF92">
        <f t="shared" si="60"/>
        <v>1.2579032965963985</v>
      </c>
      <c r="AG92">
        <f t="shared" si="45"/>
        <v>2.522098963072243</v>
      </c>
      <c r="AH92">
        <f t="shared" si="46"/>
        <v>1</v>
      </c>
      <c r="AI92">
        <f t="shared" si="47"/>
        <v>5.600087783198589</v>
      </c>
      <c r="AJ92">
        <f t="shared" si="48"/>
        <v>3.2487311147086606</v>
      </c>
      <c r="AK92">
        <f t="shared" si="49"/>
        <v>151.3259377843346</v>
      </c>
      <c r="AL92">
        <f t="shared" si="50"/>
        <v>69.09004390867536</v>
      </c>
      <c r="AM92">
        <f t="shared" si="51"/>
        <v>1.9090043908675352</v>
      </c>
      <c r="AN92">
        <f t="shared" si="52"/>
        <v>8.90700955627057</v>
      </c>
      <c r="AO92">
        <f t="shared" si="53"/>
        <v>151.08877234699466</v>
      </c>
      <c r="AP92">
        <f t="shared" si="54"/>
        <v>0.24949535797443578</v>
      </c>
      <c r="AQ92">
        <f t="shared" si="55"/>
        <v>71.47314163568426</v>
      </c>
      <c r="AR92">
        <f t="shared" si="56"/>
        <v>18.211674258417162</v>
      </c>
      <c r="AS92">
        <f t="shared" si="57"/>
        <v>73.75686445727798</v>
      </c>
      <c r="AT92">
        <f t="shared" si="58"/>
        <v>0.29502745782911194</v>
      </c>
    </row>
    <row r="93" spans="4:46" ht="18" customHeight="1">
      <c r="D93" s="2"/>
      <c r="AA93">
        <f t="shared" si="33"/>
        <v>81.25154959300555</v>
      </c>
      <c r="AB93">
        <f t="shared" si="34"/>
        <v>71.37306308506551</v>
      </c>
      <c r="AC93" s="2">
        <f t="shared" si="44"/>
        <v>63.23271881956531</v>
      </c>
      <c r="AD93">
        <f t="shared" si="43"/>
        <v>73.07254993056665</v>
      </c>
      <c r="AE93">
        <f t="shared" si="59"/>
        <v>1.103619138389197</v>
      </c>
      <c r="AF93">
        <f t="shared" si="60"/>
        <v>1.2753565891163419</v>
      </c>
      <c r="AG93">
        <f t="shared" si="45"/>
        <v>2.522098963072243</v>
      </c>
      <c r="AH93">
        <f t="shared" si="46"/>
        <v>1</v>
      </c>
      <c r="AI93">
        <f t="shared" si="47"/>
        <v>5.600087783198589</v>
      </c>
      <c r="AJ93">
        <f t="shared" si="48"/>
        <v>3.4345310588205837</v>
      </c>
      <c r="AK93">
        <f t="shared" si="49"/>
        <v>151.3259377843346</v>
      </c>
      <c r="AL93">
        <f t="shared" si="50"/>
        <v>67.14272745037525</v>
      </c>
      <c r="AM93">
        <f t="shared" si="51"/>
        <v>1.7142727450375252</v>
      </c>
      <c r="AN93">
        <f t="shared" si="52"/>
        <v>7.182537538955983</v>
      </c>
      <c r="AO93">
        <f t="shared" si="53"/>
        <v>150.87721392091726</v>
      </c>
      <c r="AP93">
        <f t="shared" si="54"/>
        <v>0.25228114888010533</v>
      </c>
      <c r="AQ93">
        <f t="shared" si="55"/>
        <v>71.37306308506551</v>
      </c>
      <c r="AR93">
        <f t="shared" si="56"/>
        <v>18.398064310057265</v>
      </c>
      <c r="AS93">
        <f t="shared" si="57"/>
        <v>73.70619312175704</v>
      </c>
      <c r="AT93">
        <f t="shared" si="58"/>
        <v>0.29482477248702815</v>
      </c>
    </row>
    <row r="94" spans="4:46" ht="18" customHeight="1">
      <c r="D94" s="2"/>
      <c r="AA94">
        <f t="shared" si="33"/>
        <v>81.04257919225014</v>
      </c>
      <c r="AB94">
        <f t="shared" si="34"/>
        <v>70.26091824464862</v>
      </c>
      <c r="AC94" s="2">
        <f>$AC$93+1</f>
        <v>64.2327188195653</v>
      </c>
      <c r="AD94">
        <f t="shared" si="43"/>
        <v>65.07254993056665</v>
      </c>
      <c r="AE94">
        <f t="shared" si="59"/>
        <v>1.12107243090914</v>
      </c>
      <c r="AF94">
        <f t="shared" si="60"/>
        <v>1.1357302489567955</v>
      </c>
      <c r="AG94">
        <f t="shared" si="45"/>
        <v>2.4135729008247933</v>
      </c>
      <c r="AH94">
        <f t="shared" si="46"/>
        <v>1</v>
      </c>
      <c r="AI94">
        <f t="shared" si="47"/>
        <v>5.55205674931334</v>
      </c>
      <c r="AJ94">
        <f t="shared" si="48"/>
        <v>2.372646286034325</v>
      </c>
      <c r="AK94">
        <f t="shared" si="49"/>
        <v>144.81437404948758</v>
      </c>
      <c r="AL94">
        <f t="shared" si="50"/>
        <v>78.48384235363461</v>
      </c>
      <c r="AM94">
        <f t="shared" si="51"/>
        <v>2.8483842353634614</v>
      </c>
      <c r="AN94">
        <f t="shared" si="52"/>
        <v>19.8296573853434</v>
      </c>
      <c r="AO94">
        <f t="shared" si="53"/>
        <v>143.87172775574365</v>
      </c>
      <c r="AP94">
        <f t="shared" si="54"/>
        <v>0.26762395884345264</v>
      </c>
      <c r="AQ94">
        <f t="shared" si="55"/>
        <v>70.26091824464862</v>
      </c>
      <c r="AR94">
        <f t="shared" si="56"/>
        <v>19.265668700361744</v>
      </c>
      <c r="AS94">
        <f t="shared" si="57"/>
        <v>72.85439329960339</v>
      </c>
      <c r="AT94">
        <f t="shared" si="58"/>
        <v>0.29141757319841355</v>
      </c>
    </row>
    <row r="95" spans="4:46" ht="18" customHeight="1">
      <c r="D95" s="2"/>
      <c r="AA95">
        <f aca="true" t="shared" si="61" ref="AA95:AA102">AK95/COS(θ)*SIN(AE95-φ+θ)/COS(AE95-φ-$F$13)</f>
        <v>81.04257919225014</v>
      </c>
      <c r="AB95">
        <f aca="true" t="shared" si="62" ref="AB95:AB102">AQ95</f>
        <v>70.52706662886192</v>
      </c>
      <c r="AC95" s="2">
        <f t="shared" si="44"/>
        <v>64.2327188195653</v>
      </c>
      <c r="AD95">
        <f t="shared" si="43"/>
        <v>66.07254993056665</v>
      </c>
      <c r="AE95">
        <f t="shared" si="59"/>
        <v>1.12107243090914</v>
      </c>
      <c r="AF95">
        <f t="shared" si="60"/>
        <v>1.1531835414767388</v>
      </c>
      <c r="AG95">
        <f t="shared" si="45"/>
        <v>2.4135729008247933</v>
      </c>
      <c r="AH95">
        <f t="shared" si="46"/>
        <v>1</v>
      </c>
      <c r="AI95">
        <f t="shared" si="47"/>
        <v>5.55205674931334</v>
      </c>
      <c r="AJ95">
        <f t="shared" si="48"/>
        <v>2.465607524585725</v>
      </c>
      <c r="AK95">
        <f t="shared" si="49"/>
        <v>144.81437404948758</v>
      </c>
      <c r="AL95">
        <f t="shared" si="50"/>
        <v>77.4628740401671</v>
      </c>
      <c r="AM95">
        <f t="shared" si="51"/>
        <v>2.7462874040167087</v>
      </c>
      <c r="AN95">
        <f t="shared" si="52"/>
        <v>18.433594667144067</v>
      </c>
      <c r="AO95">
        <f t="shared" si="53"/>
        <v>144.41671391352253</v>
      </c>
      <c r="AP95">
        <f t="shared" si="54"/>
        <v>0.26037564938971086</v>
      </c>
      <c r="AQ95">
        <f t="shared" si="55"/>
        <v>70.52706662886192</v>
      </c>
      <c r="AR95">
        <f t="shared" si="56"/>
        <v>18.79009015821414</v>
      </c>
      <c r="AS95">
        <f t="shared" si="57"/>
        <v>72.9872222750376</v>
      </c>
      <c r="AT95">
        <f t="shared" si="58"/>
        <v>0.2919488891001504</v>
      </c>
    </row>
    <row r="96" spans="4:46" ht="18" customHeight="1">
      <c r="D96" s="2"/>
      <c r="AA96">
        <f t="shared" si="61"/>
        <v>81.04257919225014</v>
      </c>
      <c r="AB96">
        <f t="shared" si="62"/>
        <v>70.75031498895986</v>
      </c>
      <c r="AC96" s="2">
        <f t="shared" si="44"/>
        <v>64.2327188195653</v>
      </c>
      <c r="AD96">
        <f t="shared" si="43"/>
        <v>67.07254993056665</v>
      </c>
      <c r="AE96">
        <f t="shared" si="59"/>
        <v>1.12107243090914</v>
      </c>
      <c r="AF96">
        <f t="shared" si="60"/>
        <v>1.1706368339966822</v>
      </c>
      <c r="AG96">
        <f t="shared" si="45"/>
        <v>2.4135729008247933</v>
      </c>
      <c r="AH96">
        <f t="shared" si="46"/>
        <v>1</v>
      </c>
      <c r="AI96">
        <f t="shared" si="47"/>
        <v>5.55205674931334</v>
      </c>
      <c r="AJ96">
        <f t="shared" si="48"/>
        <v>2.566964137066278</v>
      </c>
      <c r="AK96">
        <f t="shared" si="49"/>
        <v>144.81437404948758</v>
      </c>
      <c r="AL96">
        <f t="shared" si="50"/>
        <v>76.35828923071678</v>
      </c>
      <c r="AM96">
        <f t="shared" si="51"/>
        <v>2.6358289230716783</v>
      </c>
      <c r="AN96">
        <f t="shared" si="52"/>
        <v>16.980579290568254</v>
      </c>
      <c r="AO96">
        <f t="shared" si="53"/>
        <v>144.87385464109013</v>
      </c>
      <c r="AP96">
        <f t="shared" si="54"/>
        <v>0.2543162586504103</v>
      </c>
      <c r="AQ96">
        <f t="shared" si="55"/>
        <v>70.75031498895986</v>
      </c>
      <c r="AR96">
        <f t="shared" si="56"/>
        <v>18.391169345878396</v>
      </c>
      <c r="AS96">
        <f t="shared" si="57"/>
        <v>73.10158808771403</v>
      </c>
      <c r="AT96">
        <f t="shared" si="58"/>
        <v>0.2924063523508561</v>
      </c>
    </row>
    <row r="97" spans="4:46" ht="18" customHeight="1">
      <c r="D97" s="2"/>
      <c r="AA97">
        <f t="shared" si="61"/>
        <v>81.04257919225014</v>
      </c>
      <c r="AB97">
        <f t="shared" si="62"/>
        <v>70.9281717849066</v>
      </c>
      <c r="AC97" s="2">
        <f t="shared" si="44"/>
        <v>64.2327188195653</v>
      </c>
      <c r="AD97">
        <f t="shared" si="43"/>
        <v>68.07254993056665</v>
      </c>
      <c r="AE97">
        <f t="shared" si="59"/>
        <v>1.12107243090914</v>
      </c>
      <c r="AF97">
        <f t="shared" si="60"/>
        <v>1.1880901265166253</v>
      </c>
      <c r="AG97">
        <f aca="true" t="shared" si="63" ref="AG97:AG102">AI97*COS(AE97)</f>
        <v>2.4135729008247933</v>
      </c>
      <c r="AH97">
        <f aca="true" t="shared" si="64" ref="AH97:AH102">MIN(Lh,AJ97*COS(AF97))</f>
        <v>1</v>
      </c>
      <c r="AI97">
        <f aca="true" t="shared" si="65" ref="AI97:AI102">HA/SIN(AE97-β)*COS(β)</f>
        <v>5.55205674931334</v>
      </c>
      <c r="AJ97">
        <f aca="true" t="shared" si="66" ref="AJ97:AJ102">IF(AF97&gt;=ωL2,HA/SIN(AF97+β)*COS(β),(Lh-H*TAN(α))/COS(AF97+α))</f>
        <v>2.6778618385575714</v>
      </c>
      <c r="AK97">
        <f aca="true" t="shared" si="67" ref="AK97:AK102">0.5*γ*HA*AG97+AG97*qr</f>
        <v>144.81437404948758</v>
      </c>
      <c r="AL97">
        <f aca="true" t="shared" si="68" ref="AL97:AL102">0.5*γ/SIN(AF97+β)*(HA^2*COS(AF97)*COS(β)-(AM97/COS(α))^2*COS(AF97+α)*COS(β-α))+AH97*qf</f>
        <v>75.1586151223348</v>
      </c>
      <c r="AM97">
        <f aca="true" t="shared" si="69" ref="AM97:AM102">MAX(0,H-AJ97*SIN(AF97))</f>
        <v>2.5158615122334793</v>
      </c>
      <c r="AN97">
        <f aca="true" t="shared" si="70" ref="AN97:AN102">IF(AM97=0,0,0.5*γ*AM97^2*Kac*(1+2*qf*COS(α)*COS(β)/(γ*AM97*COS(α-β))))</f>
        <v>15.470043193580436</v>
      </c>
      <c r="AO97">
        <f aca="true" t="shared" si="71" ref="AO97:AO102">((AK97+AL97)/COS(θ)*SIN(AF97-φ-θ)+AN97*COS(AF97-φ+δc+α))/SIN(AE97+AF97-2*φ)</f>
        <v>145.2380480670408</v>
      </c>
      <c r="AP97">
        <f aca="true" t="shared" si="72" ref="AP97:AP102">ATAN((AK97-AO97*COS(AE97-φ))/(AO97*SIN(AE97-φ)+AK97*TAN(θ)))</f>
        <v>0.24950257147695895</v>
      </c>
      <c r="AQ97">
        <f aca="true" t="shared" si="73" ref="AQ97:AQ102">AO97*SIN(AE97-φ)+AK97*TAN(θ)</f>
        <v>70.9281717849066</v>
      </c>
      <c r="AR97">
        <f aca="true" t="shared" si="74" ref="AR97:AR102">AK97-AO97*COS(AE97-φ)</f>
        <v>18.073358377469106</v>
      </c>
      <c r="AS97">
        <f aca="true" t="shared" si="75" ref="AS97:AS102">AQ97/COS(AP97)</f>
        <v>73.19461616669393</v>
      </c>
      <c r="AT97">
        <f aca="true" t="shared" si="76" ref="AT97:AT102">2*AS97/γ/HA^2</f>
        <v>0.2927784646667757</v>
      </c>
    </row>
    <row r="98" spans="4:46" ht="18" customHeight="1">
      <c r="D98" s="2"/>
      <c r="AA98">
        <f t="shared" si="61"/>
        <v>81.04257919225014</v>
      </c>
      <c r="AB98">
        <f t="shared" si="62"/>
        <v>71.05761702374764</v>
      </c>
      <c r="AC98" s="2">
        <f t="shared" si="44"/>
        <v>64.2327188195653</v>
      </c>
      <c r="AD98">
        <f t="shared" si="43"/>
        <v>69.07254993056665</v>
      </c>
      <c r="AE98">
        <f t="shared" si="59"/>
        <v>1.12107243090914</v>
      </c>
      <c r="AF98">
        <f t="shared" si="60"/>
        <v>1.2055434190365688</v>
      </c>
      <c r="AG98">
        <f t="shared" si="63"/>
        <v>2.4135729008247933</v>
      </c>
      <c r="AH98">
        <f t="shared" si="64"/>
        <v>1</v>
      </c>
      <c r="AI98">
        <f t="shared" si="65"/>
        <v>5.55205674931334</v>
      </c>
      <c r="AJ98">
        <f t="shared" si="66"/>
        <v>2.7996654831610313</v>
      </c>
      <c r="AK98">
        <f t="shared" si="67"/>
        <v>144.81437404948758</v>
      </c>
      <c r="AL98">
        <f t="shared" si="68"/>
        <v>73.85018772992186</v>
      </c>
      <c r="AM98">
        <f t="shared" si="69"/>
        <v>2.3850187729921863</v>
      </c>
      <c r="AN98">
        <f t="shared" si="70"/>
        <v>13.902780538267843</v>
      </c>
      <c r="AO98">
        <f t="shared" si="71"/>
        <v>145.5031102186194</v>
      </c>
      <c r="AP98">
        <f t="shared" si="72"/>
        <v>0.24600688471931464</v>
      </c>
      <c r="AQ98">
        <f t="shared" si="73"/>
        <v>71.05761702374764</v>
      </c>
      <c r="AR98">
        <f t="shared" si="74"/>
        <v>17.842053655639077</v>
      </c>
      <c r="AS98">
        <f t="shared" si="75"/>
        <v>73.26338659756519</v>
      </c>
      <c r="AT98">
        <f t="shared" si="76"/>
        <v>0.29305354639026077</v>
      </c>
    </row>
    <row r="99" spans="4:46" ht="18" customHeight="1">
      <c r="D99" s="2"/>
      <c r="AA99">
        <f t="shared" si="61"/>
        <v>81.04257919225014</v>
      </c>
      <c r="AB99">
        <f t="shared" si="62"/>
        <v>71.1350231428817</v>
      </c>
      <c r="AC99" s="2">
        <f t="shared" si="44"/>
        <v>64.2327188195653</v>
      </c>
      <c r="AD99">
        <f>AD45</f>
        <v>70.07254993056665</v>
      </c>
      <c r="AE99">
        <f t="shared" si="59"/>
        <v>1.12107243090914</v>
      </c>
      <c r="AF99">
        <f t="shared" si="60"/>
        <v>1.222996711556512</v>
      </c>
      <c r="AG99">
        <f t="shared" si="63"/>
        <v>2.4135729008247933</v>
      </c>
      <c r="AH99">
        <f t="shared" si="64"/>
        <v>1</v>
      </c>
      <c r="AI99">
        <f t="shared" si="65"/>
        <v>5.55205674931334</v>
      </c>
      <c r="AJ99">
        <f t="shared" si="66"/>
        <v>2.9340140450929098</v>
      </c>
      <c r="AK99">
        <f t="shared" si="67"/>
        <v>144.81437404948758</v>
      </c>
      <c r="AL99">
        <f t="shared" si="68"/>
        <v>72.41660206428065</v>
      </c>
      <c r="AM99">
        <f t="shared" si="69"/>
        <v>2.241660206428066</v>
      </c>
      <c r="AN99">
        <f t="shared" si="70"/>
        <v>12.281675779481244</v>
      </c>
      <c r="AO99">
        <f t="shared" si="71"/>
        <v>145.66161301614773</v>
      </c>
      <c r="AP99">
        <f t="shared" si="72"/>
        <v>0.2439196703104753</v>
      </c>
      <c r="AQ99">
        <f t="shared" si="73"/>
        <v>71.1350231428817</v>
      </c>
      <c r="AR99">
        <f t="shared" si="74"/>
        <v>17.70373724466444</v>
      </c>
      <c r="AS99">
        <f t="shared" si="75"/>
        <v>73.30493728233068</v>
      </c>
      <c r="AT99">
        <f t="shared" si="76"/>
        <v>0.29321974912932275</v>
      </c>
    </row>
    <row r="100" spans="4:46" ht="18" customHeight="1">
      <c r="D100" s="2"/>
      <c r="AA100">
        <f t="shared" si="61"/>
        <v>81.04257919225014</v>
      </c>
      <c r="AB100">
        <f t="shared" si="62"/>
        <v>71.15606209454342</v>
      </c>
      <c r="AC100" s="2">
        <f t="shared" si="44"/>
        <v>64.2327188195653</v>
      </c>
      <c r="AD100">
        <f>AD46</f>
        <v>71.07254993056665</v>
      </c>
      <c r="AE100">
        <f t="shared" si="59"/>
        <v>1.12107243090914</v>
      </c>
      <c r="AF100">
        <f t="shared" si="60"/>
        <v>1.2404500040764552</v>
      </c>
      <c r="AG100">
        <f t="shared" si="63"/>
        <v>2.4135729008247933</v>
      </c>
      <c r="AH100">
        <f t="shared" si="64"/>
        <v>1</v>
      </c>
      <c r="AI100">
        <f t="shared" si="65"/>
        <v>5.55205674931334</v>
      </c>
      <c r="AJ100">
        <f t="shared" si="66"/>
        <v>3.082893028967365</v>
      </c>
      <c r="AK100">
        <f t="shared" si="67"/>
        <v>144.81437404948758</v>
      </c>
      <c r="AL100">
        <f t="shared" si="68"/>
        <v>70.83798801856159</v>
      </c>
      <c r="AM100">
        <f t="shared" si="69"/>
        <v>2.083798801856159</v>
      </c>
      <c r="AN100">
        <f t="shared" si="70"/>
        <v>10.612791487774041</v>
      </c>
      <c r="AO100">
        <f t="shared" si="71"/>
        <v>145.7046940119753</v>
      </c>
      <c r="AP100">
        <f t="shared" si="72"/>
        <v>0.2433527759875211</v>
      </c>
      <c r="AQ100">
        <f t="shared" si="73"/>
        <v>71.15606209454342</v>
      </c>
      <c r="AR100">
        <f t="shared" si="74"/>
        <v>17.66614290048247</v>
      </c>
      <c r="AS100">
        <f t="shared" si="75"/>
        <v>73.31628589735561</v>
      </c>
      <c r="AT100">
        <f t="shared" si="76"/>
        <v>0.29326514358942246</v>
      </c>
    </row>
    <row r="101" spans="4:46" ht="18" customHeight="1">
      <c r="D101" s="2"/>
      <c r="AA101">
        <f t="shared" si="61"/>
        <v>81.04257919225014</v>
      </c>
      <c r="AB101">
        <f t="shared" si="62"/>
        <v>71.11559868576191</v>
      </c>
      <c r="AC101" s="2">
        <f t="shared" si="44"/>
        <v>64.2327188195653</v>
      </c>
      <c r="AD101">
        <f>AD47</f>
        <v>72.07254993056665</v>
      </c>
      <c r="AE101">
        <f t="shared" si="59"/>
        <v>1.12107243090914</v>
      </c>
      <c r="AF101">
        <f t="shared" si="60"/>
        <v>1.2579032965963985</v>
      </c>
      <c r="AG101">
        <f t="shared" si="63"/>
        <v>2.4135729008247933</v>
      </c>
      <c r="AH101">
        <f t="shared" si="64"/>
        <v>1</v>
      </c>
      <c r="AI101">
        <f t="shared" si="65"/>
        <v>5.55205674931334</v>
      </c>
      <c r="AJ101">
        <f t="shared" si="66"/>
        <v>3.2487311147086606</v>
      </c>
      <c r="AK101">
        <f t="shared" si="67"/>
        <v>144.81437404948758</v>
      </c>
      <c r="AL101">
        <f t="shared" si="68"/>
        <v>69.09004390867536</v>
      </c>
      <c r="AM101">
        <f t="shared" si="69"/>
        <v>1.9090043908675352</v>
      </c>
      <c r="AN101">
        <f t="shared" si="70"/>
        <v>8.90700955627057</v>
      </c>
      <c r="AO101">
        <f t="shared" si="71"/>
        <v>145.6218379850727</v>
      </c>
      <c r="AP101">
        <f t="shared" si="72"/>
        <v>0.24444321780287567</v>
      </c>
      <c r="AQ101">
        <f t="shared" si="73"/>
        <v>71.11559868576191</v>
      </c>
      <c r="AR101">
        <f t="shared" si="74"/>
        <v>17.738446660715738</v>
      </c>
      <c r="AS101">
        <f t="shared" si="75"/>
        <v>73.29448046319312</v>
      </c>
      <c r="AT101">
        <f t="shared" si="76"/>
        <v>0.29317792185277247</v>
      </c>
    </row>
    <row r="102" spans="4:46" ht="18" customHeight="1">
      <c r="D102" s="2"/>
      <c r="AA102">
        <f t="shared" si="61"/>
        <v>81.04257919225014</v>
      </c>
      <c r="AB102">
        <f t="shared" si="62"/>
        <v>71.00757287356143</v>
      </c>
      <c r="AC102" s="2">
        <f t="shared" si="44"/>
        <v>64.2327188195653</v>
      </c>
      <c r="AD102">
        <f>AD48</f>
        <v>73.07254993056665</v>
      </c>
      <c r="AE102">
        <f t="shared" si="59"/>
        <v>1.12107243090914</v>
      </c>
      <c r="AF102">
        <f t="shared" si="60"/>
        <v>1.2753565891163419</v>
      </c>
      <c r="AG102">
        <f t="shared" si="63"/>
        <v>2.4135729008247933</v>
      </c>
      <c r="AH102">
        <f t="shared" si="64"/>
        <v>1</v>
      </c>
      <c r="AI102">
        <f t="shared" si="65"/>
        <v>5.55205674931334</v>
      </c>
      <c r="AJ102">
        <f t="shared" si="66"/>
        <v>3.4345310588205837</v>
      </c>
      <c r="AK102">
        <f t="shared" si="67"/>
        <v>144.81437404948758</v>
      </c>
      <c r="AL102">
        <f t="shared" si="68"/>
        <v>67.14272745037525</v>
      </c>
      <c r="AM102">
        <f t="shared" si="69"/>
        <v>1.7142727450375252</v>
      </c>
      <c r="AN102">
        <f t="shared" si="70"/>
        <v>7.182537538955983</v>
      </c>
      <c r="AO102">
        <f t="shared" si="71"/>
        <v>145.40063591951778</v>
      </c>
      <c r="AP102">
        <f t="shared" si="72"/>
        <v>0.24735755518504784</v>
      </c>
      <c r="AQ102">
        <f t="shared" si="73"/>
        <v>71.00757287356143</v>
      </c>
      <c r="AR102">
        <f t="shared" si="74"/>
        <v>17.93147717049122</v>
      </c>
      <c r="AS102">
        <f t="shared" si="75"/>
        <v>73.23669352797124</v>
      </c>
      <c r="AT102">
        <f t="shared" si="76"/>
        <v>0.29294677411188497</v>
      </c>
    </row>
    <row r="103" ht="18" customHeight="1">
      <c r="D103" s="2"/>
    </row>
    <row r="104" ht="18" customHeight="1">
      <c r="D104" s="2"/>
    </row>
    <row r="105" ht="18" customHeight="1">
      <c r="D105" s="2"/>
    </row>
    <row r="106" ht="18" customHeight="1">
      <c r="D106" s="2"/>
    </row>
    <row r="107" ht="18" customHeight="1">
      <c r="D107" s="2"/>
    </row>
    <row r="108" ht="18" customHeight="1">
      <c r="D108" s="2"/>
    </row>
    <row r="109" ht="18" customHeight="1">
      <c r="D109" s="2"/>
    </row>
    <row r="110" ht="18" customHeight="1">
      <c r="D110" s="2"/>
    </row>
    <row r="111" ht="18" customHeight="1">
      <c r="D111" s="2"/>
    </row>
    <row r="112" ht="18" customHeight="1">
      <c r="D112" s="2"/>
    </row>
    <row r="113" ht="18" customHeight="1">
      <c r="D113" s="2"/>
    </row>
    <row r="114" ht="18" customHeight="1">
      <c r="D114" s="2"/>
    </row>
    <row r="115" ht="18" customHeight="1">
      <c r="D115" s="2"/>
    </row>
    <row r="116" ht="18" customHeight="1">
      <c r="D116" s="2"/>
    </row>
    <row r="117" ht="18" customHeight="1">
      <c r="D117" s="2"/>
    </row>
    <row r="118" ht="18" customHeight="1">
      <c r="D118" s="2"/>
    </row>
    <row r="119" ht="18" customHeight="1">
      <c r="D119" s="2"/>
    </row>
    <row r="120" ht="18" customHeight="1">
      <c r="D120" s="2"/>
    </row>
    <row r="121" ht="18" customHeight="1">
      <c r="D121" s="2"/>
    </row>
    <row r="122" ht="18" customHeight="1">
      <c r="D122" s="2"/>
    </row>
    <row r="123" ht="18" customHeight="1">
      <c r="D123" s="2"/>
    </row>
    <row r="124" ht="18" customHeight="1">
      <c r="D124" s="2"/>
    </row>
    <row r="125" ht="18" customHeight="1">
      <c r="D125" s="2"/>
    </row>
    <row r="126" ht="18" customHeight="1">
      <c r="D126" s="2"/>
    </row>
    <row r="127" ht="18" customHeight="1">
      <c r="D127" s="2"/>
    </row>
    <row r="128" ht="18" customHeight="1">
      <c r="D128" s="2"/>
    </row>
    <row r="129" ht="18" customHeight="1">
      <c r="D129" s="2"/>
    </row>
    <row r="130" ht="18" customHeight="1">
      <c r="D130" s="2"/>
    </row>
    <row r="131" ht="18" customHeight="1">
      <c r="D131" s="2"/>
    </row>
    <row r="132" ht="18" customHeight="1">
      <c r="D132" s="2"/>
    </row>
    <row r="133" ht="18" customHeight="1">
      <c r="D133" s="2"/>
    </row>
    <row r="134" ht="18" customHeight="1">
      <c r="D134" s="2"/>
    </row>
    <row r="135" ht="18" customHeight="1">
      <c r="D135" s="2"/>
    </row>
    <row r="136" ht="18" customHeight="1">
      <c r="D136" s="2"/>
    </row>
    <row r="137" ht="18" customHeight="1">
      <c r="D137" s="2"/>
    </row>
    <row r="138" ht="18" customHeight="1">
      <c r="D138" s="2"/>
    </row>
    <row r="139" ht="18" customHeight="1">
      <c r="D139" s="2"/>
    </row>
    <row r="140" ht="18" customHeight="1">
      <c r="D140" s="2"/>
    </row>
    <row r="141" ht="18" customHeight="1">
      <c r="D141" s="2"/>
    </row>
    <row r="142" ht="18" customHeight="1">
      <c r="D142" s="2"/>
    </row>
    <row r="143" ht="18" customHeight="1">
      <c r="D143" s="2"/>
    </row>
    <row r="144" ht="18" customHeight="1">
      <c r="D144" s="2"/>
    </row>
    <row r="145" ht="18" customHeight="1">
      <c r="D145" s="2"/>
    </row>
    <row r="146" ht="18" customHeight="1">
      <c r="D146" s="2"/>
    </row>
    <row r="147" ht="18" customHeight="1">
      <c r="D147" s="2"/>
    </row>
    <row r="148" ht="18" customHeight="1">
      <c r="D148" s="2"/>
    </row>
    <row r="149" spans="1:4" ht="18" customHeight="1">
      <c r="A149" t="s">
        <v>60</v>
      </c>
      <c r="D149" s="2"/>
    </row>
    <row r="150" spans="1:4" ht="18" customHeight="1">
      <c r="A150" t="s">
        <v>61</v>
      </c>
      <c r="D150" s="2"/>
    </row>
    <row r="151" ht="18" customHeight="1">
      <c r="D151" s="2"/>
    </row>
    <row r="152" ht="18" customHeight="1">
      <c r="D152" s="2"/>
    </row>
    <row r="153" ht="18" customHeight="1">
      <c r="D153" s="2"/>
    </row>
    <row r="154" ht="18" customHeight="1">
      <c r="D154" s="2"/>
    </row>
    <row r="155" ht="18" customHeight="1">
      <c r="D155" s="2"/>
    </row>
    <row r="156" ht="18" customHeight="1">
      <c r="D156" s="2"/>
    </row>
    <row r="157" ht="18" customHeight="1">
      <c r="D157" s="2"/>
    </row>
    <row r="158" ht="18" customHeight="1">
      <c r="D158" s="2"/>
    </row>
    <row r="159" ht="18" customHeight="1">
      <c r="D159" s="2"/>
    </row>
    <row r="160" ht="18" customHeight="1">
      <c r="D160" s="2"/>
    </row>
    <row r="161" ht="18" customHeight="1">
      <c r="D161" s="2"/>
    </row>
    <row r="162" ht="18" customHeight="1">
      <c r="D162" s="2"/>
    </row>
    <row r="163" ht="18" customHeight="1">
      <c r="D163" s="2"/>
    </row>
    <row r="164" ht="18" customHeight="1">
      <c r="D164" s="2"/>
    </row>
    <row r="165" ht="18" customHeight="1">
      <c r="D165" s="2"/>
    </row>
    <row r="166" ht="18" customHeight="1">
      <c r="D166" s="2"/>
    </row>
    <row r="167" ht="18" customHeight="1">
      <c r="D167" s="2"/>
    </row>
    <row r="168" ht="18" customHeight="1">
      <c r="D168" s="20"/>
    </row>
    <row r="169" ht="18" customHeight="1">
      <c r="D169" s="20"/>
    </row>
    <row r="170" ht="18" customHeight="1">
      <c r="D170" s="20"/>
    </row>
    <row r="171" ht="18" customHeight="1">
      <c r="D171" s="20"/>
    </row>
    <row r="172" ht="18" customHeight="1">
      <c r="D172" s="20"/>
    </row>
    <row r="173" ht="18" customHeight="1">
      <c r="D173" s="20"/>
    </row>
    <row r="174" ht="18" customHeight="1">
      <c r="D174" s="20"/>
    </row>
    <row r="175" ht="18" customHeight="1">
      <c r="D175" s="20"/>
    </row>
    <row r="176" ht="18" customHeight="1">
      <c r="D176" s="20"/>
    </row>
    <row r="177" ht="18" customHeight="1">
      <c r="D177" s="20"/>
    </row>
    <row r="178" ht="18" customHeight="1">
      <c r="D178" s="20"/>
    </row>
    <row r="179" ht="18" customHeight="1">
      <c r="D179" s="20"/>
    </row>
    <row r="180" ht="18" customHeight="1">
      <c r="D180" s="20"/>
    </row>
    <row r="181" ht="18" customHeight="1">
      <c r="D181" s="20"/>
    </row>
    <row r="182" ht="18" customHeight="1">
      <c r="D182" s="20"/>
    </row>
    <row r="183" ht="18" customHeight="1">
      <c r="D183" s="20"/>
    </row>
    <row r="184" ht="18" customHeight="1">
      <c r="D184" s="20"/>
    </row>
    <row r="185" ht="18" customHeight="1">
      <c r="D185" s="20"/>
    </row>
    <row r="186" ht="18" customHeight="1">
      <c r="D186" s="20"/>
    </row>
    <row r="187" ht="18" customHeight="1">
      <c r="D187" s="20"/>
    </row>
    <row r="188" ht="18" customHeight="1">
      <c r="D188" s="20"/>
    </row>
    <row r="189" ht="18" customHeight="1">
      <c r="D189" s="20"/>
    </row>
    <row r="190" ht="18" customHeight="1">
      <c r="D190" s="20"/>
    </row>
    <row r="191" ht="18" customHeight="1">
      <c r="D191" s="20"/>
    </row>
    <row r="192" ht="18" customHeight="1">
      <c r="D192" s="20"/>
    </row>
    <row r="193" ht="18" customHeight="1">
      <c r="D193" s="20"/>
    </row>
    <row r="194" ht="18" customHeight="1">
      <c r="D194" s="20"/>
    </row>
    <row r="195" ht="18" customHeight="1">
      <c r="D195" s="20"/>
    </row>
    <row r="196" ht="18" customHeight="1">
      <c r="D196" s="20"/>
    </row>
    <row r="197" ht="18" customHeight="1">
      <c r="D197" s="20"/>
    </row>
    <row r="198" ht="18" customHeight="1">
      <c r="D198" s="20"/>
    </row>
    <row r="199" ht="18" customHeight="1">
      <c r="D199" s="20"/>
    </row>
    <row r="200" ht="18" customHeight="1">
      <c r="D200" s="20"/>
    </row>
    <row r="201" ht="18" customHeight="1">
      <c r="D201" s="20"/>
    </row>
    <row r="202" ht="18" customHeight="1">
      <c r="D202" s="20"/>
    </row>
    <row r="203" ht="18" customHeight="1">
      <c r="D203" s="20"/>
    </row>
    <row r="204" ht="18" customHeight="1">
      <c r="D204" s="2"/>
    </row>
    <row r="205" ht="18" customHeight="1">
      <c r="D205" s="2"/>
    </row>
    <row r="206" spans="1:4" ht="18" customHeight="1">
      <c r="A206" t="s">
        <v>62</v>
      </c>
      <c r="D206" s="2"/>
    </row>
    <row r="207" spans="1:4" ht="18" customHeight="1">
      <c r="A207" t="s">
        <v>61</v>
      </c>
      <c r="D207" s="2"/>
    </row>
    <row r="208" ht="18" customHeight="1">
      <c r="D208" s="2"/>
    </row>
    <row r="209" ht="18" customHeight="1">
      <c r="D209" s="2"/>
    </row>
    <row r="210" ht="18" customHeight="1">
      <c r="D210" s="2"/>
    </row>
    <row r="211" ht="18" customHeight="1">
      <c r="D211" s="2"/>
    </row>
    <row r="212" ht="18" customHeight="1">
      <c r="D212" s="2"/>
    </row>
    <row r="213" ht="18" customHeight="1">
      <c r="D213" s="2"/>
    </row>
    <row r="214" ht="18" customHeight="1">
      <c r="D214" s="2"/>
    </row>
    <row r="215" ht="18" customHeight="1">
      <c r="D215" s="2"/>
    </row>
    <row r="216" ht="18" customHeight="1">
      <c r="D216" s="2"/>
    </row>
    <row r="217" ht="18" customHeight="1">
      <c r="D217" s="2"/>
    </row>
    <row r="218" ht="18" customHeight="1">
      <c r="D218" s="2"/>
    </row>
    <row r="219" ht="18" customHeight="1">
      <c r="D219" s="2"/>
    </row>
    <row r="220" ht="18" customHeight="1">
      <c r="D220" s="2"/>
    </row>
    <row r="221" ht="18" customHeight="1">
      <c r="D221" s="2"/>
    </row>
    <row r="222" ht="18" customHeight="1">
      <c r="D222" s="2"/>
    </row>
    <row r="223" ht="18" customHeight="1">
      <c r="D223" s="2"/>
    </row>
    <row r="224" ht="18" customHeight="1">
      <c r="D224" s="2"/>
    </row>
    <row r="225" ht="18" customHeight="1">
      <c r="D225" s="2"/>
    </row>
    <row r="226" ht="18" customHeight="1">
      <c r="D226" s="2"/>
    </row>
    <row r="227" ht="18" customHeight="1">
      <c r="D227" s="2"/>
    </row>
    <row r="228" ht="18" customHeight="1">
      <c r="D228" s="2"/>
    </row>
    <row r="229" ht="18" customHeight="1">
      <c r="D229" s="2"/>
    </row>
    <row r="230" ht="18" customHeight="1">
      <c r="D230" s="2"/>
    </row>
    <row r="231" ht="18" customHeight="1">
      <c r="D231" s="2"/>
    </row>
    <row r="232" ht="18" customHeight="1">
      <c r="D232" s="2"/>
    </row>
    <row r="233" ht="18" customHeight="1">
      <c r="D233" s="2"/>
    </row>
    <row r="234" ht="18" customHeight="1">
      <c r="D234" s="2"/>
    </row>
    <row r="235" ht="18" customHeight="1">
      <c r="D235" s="2"/>
    </row>
    <row r="236" ht="18" customHeight="1">
      <c r="D236" s="2"/>
    </row>
    <row r="237" ht="18" customHeight="1">
      <c r="D237" s="2"/>
    </row>
    <row r="238" ht="18" customHeight="1">
      <c r="D238" s="2"/>
    </row>
    <row r="239" ht="18" customHeight="1">
      <c r="D239" s="2"/>
    </row>
    <row r="240" ht="18" customHeight="1">
      <c r="D240" s="2"/>
    </row>
    <row r="241" ht="18" customHeight="1">
      <c r="D241" s="2"/>
    </row>
    <row r="242" ht="18" customHeight="1">
      <c r="D242" s="2"/>
    </row>
    <row r="243" ht="18" customHeight="1">
      <c r="D243" s="2"/>
    </row>
    <row r="244" ht="18" customHeight="1">
      <c r="D244" s="2"/>
    </row>
    <row r="245" ht="18" customHeight="1">
      <c r="D245" s="2"/>
    </row>
    <row r="246" ht="18" customHeight="1">
      <c r="D246" s="2"/>
    </row>
    <row r="247" ht="18" customHeight="1">
      <c r="D247" s="2"/>
    </row>
    <row r="248" ht="18" customHeight="1">
      <c r="D248" s="2"/>
    </row>
    <row r="249" ht="18" customHeight="1">
      <c r="D249" s="2"/>
    </row>
    <row r="250" ht="18" customHeight="1">
      <c r="D250" s="2"/>
    </row>
    <row r="251" ht="18" customHeight="1">
      <c r="D251" s="2"/>
    </row>
    <row r="252" ht="18" customHeight="1">
      <c r="D252" s="2"/>
    </row>
    <row r="253" ht="18" customHeight="1">
      <c r="D253" s="2"/>
    </row>
    <row r="254" ht="18" customHeight="1">
      <c r="D254" s="2"/>
    </row>
    <row r="255" ht="18" customHeight="1">
      <c r="D255" s="2"/>
    </row>
    <row r="256" ht="18" customHeight="1">
      <c r="D256" s="2"/>
    </row>
    <row r="257" ht="18" customHeight="1">
      <c r="D257" s="2"/>
    </row>
    <row r="258" ht="18" customHeight="1">
      <c r="D258" s="2"/>
    </row>
    <row r="259" ht="18" customHeight="1">
      <c r="D259" s="2"/>
    </row>
    <row r="260" ht="18" customHeight="1">
      <c r="D260" s="2"/>
    </row>
    <row r="261" ht="18" customHeight="1">
      <c r="D261" s="2"/>
    </row>
    <row r="262" ht="18" customHeight="1">
      <c r="D262" s="2"/>
    </row>
    <row r="263" spans="1:4" ht="18" customHeight="1">
      <c r="A263" t="s">
        <v>62</v>
      </c>
      <c r="D263" s="2"/>
    </row>
    <row r="264" spans="1:4" ht="18" customHeight="1">
      <c r="A264" t="s">
        <v>61</v>
      </c>
      <c r="D264" s="2"/>
    </row>
    <row r="265" ht="18" customHeight="1">
      <c r="D265" s="2"/>
    </row>
    <row r="266" ht="18" customHeight="1">
      <c r="D266" s="2"/>
    </row>
    <row r="267" ht="18" customHeight="1">
      <c r="D267" s="2"/>
    </row>
    <row r="268" ht="18" customHeight="1">
      <c r="D268" s="2"/>
    </row>
    <row r="269" ht="18" customHeight="1">
      <c r="D269" s="2"/>
    </row>
    <row r="270" ht="18" customHeight="1">
      <c r="D270" s="2"/>
    </row>
    <row r="271" ht="18" customHeight="1">
      <c r="D271" s="2"/>
    </row>
    <row r="272" ht="18" customHeight="1">
      <c r="D272" s="2"/>
    </row>
    <row r="273" ht="18" customHeight="1">
      <c r="D273" s="2"/>
    </row>
    <row r="274" ht="18" customHeight="1">
      <c r="D274" s="2"/>
    </row>
    <row r="275" ht="18" customHeight="1">
      <c r="D275" s="2"/>
    </row>
    <row r="276" ht="18" customHeight="1">
      <c r="D276" s="2"/>
    </row>
    <row r="277" ht="18" customHeight="1">
      <c r="D277" s="2"/>
    </row>
    <row r="278" ht="18" customHeight="1">
      <c r="D278" s="2"/>
    </row>
    <row r="279" ht="18" customHeight="1">
      <c r="D279" s="2"/>
    </row>
    <row r="280" ht="18" customHeight="1">
      <c r="D280" s="2"/>
    </row>
    <row r="281" ht="18" customHeight="1">
      <c r="D281" s="2"/>
    </row>
    <row r="282" ht="18" customHeight="1">
      <c r="D282" s="2"/>
    </row>
    <row r="283" ht="18" customHeight="1">
      <c r="D283" s="2"/>
    </row>
    <row r="284" ht="18" customHeight="1">
      <c r="D284" s="2"/>
    </row>
    <row r="285" ht="18" customHeight="1">
      <c r="D285" s="2"/>
    </row>
    <row r="286" ht="18" customHeight="1">
      <c r="D286" s="2"/>
    </row>
    <row r="287" ht="18" customHeight="1">
      <c r="D287" s="2"/>
    </row>
    <row r="288" ht="18" customHeight="1">
      <c r="D288" s="2"/>
    </row>
    <row r="289" ht="18" customHeight="1">
      <c r="D289" s="2"/>
    </row>
    <row r="290" ht="18" customHeight="1">
      <c r="D290" s="2"/>
    </row>
    <row r="291" ht="18" customHeight="1">
      <c r="D291" s="2"/>
    </row>
    <row r="292" ht="18" customHeight="1">
      <c r="D292" s="2"/>
    </row>
    <row r="293" ht="18" customHeight="1">
      <c r="D293" s="2"/>
    </row>
    <row r="294" ht="18" customHeight="1">
      <c r="D294" s="2"/>
    </row>
    <row r="295" ht="18" customHeight="1">
      <c r="D295" s="2"/>
    </row>
    <row r="296" ht="18" customHeight="1">
      <c r="D296" s="2"/>
    </row>
    <row r="297" ht="18" customHeight="1">
      <c r="D297" s="2"/>
    </row>
    <row r="298" ht="18" customHeight="1">
      <c r="D298" s="2"/>
    </row>
    <row r="299" ht="18" customHeight="1">
      <c r="D299" s="2"/>
    </row>
    <row r="300" ht="18" customHeight="1">
      <c r="D300" s="2"/>
    </row>
    <row r="301" ht="18" customHeight="1">
      <c r="D301" s="2"/>
    </row>
    <row r="302" ht="18" customHeight="1">
      <c r="D302" s="2"/>
    </row>
    <row r="303" ht="18" customHeight="1">
      <c r="D303" s="2"/>
    </row>
    <row r="304" ht="18" customHeight="1">
      <c r="D304" s="2"/>
    </row>
    <row r="305" ht="18" customHeight="1">
      <c r="D305" s="2"/>
    </row>
    <row r="306" ht="18" customHeight="1">
      <c r="D306" s="2"/>
    </row>
    <row r="307" ht="18" customHeight="1">
      <c r="D307" s="2"/>
    </row>
    <row r="308" ht="18" customHeight="1">
      <c r="D308" s="2"/>
    </row>
    <row r="309" ht="18" customHeight="1">
      <c r="D309" s="2"/>
    </row>
    <row r="310" ht="18" customHeight="1">
      <c r="D310" s="2"/>
    </row>
    <row r="311" ht="18" customHeight="1">
      <c r="D311" s="2"/>
    </row>
    <row r="312" ht="18" customHeight="1">
      <c r="D312" s="2"/>
    </row>
    <row r="313" ht="18" customHeight="1">
      <c r="D313" s="2"/>
    </row>
    <row r="314" ht="18" customHeight="1">
      <c r="D314" s="2"/>
    </row>
    <row r="315" ht="18" customHeight="1">
      <c r="D315" s="2"/>
    </row>
    <row r="316" ht="18" customHeight="1">
      <c r="D316" s="2"/>
    </row>
    <row r="317" ht="18" customHeight="1">
      <c r="D317" s="2"/>
    </row>
    <row r="318" ht="18" customHeight="1">
      <c r="D318" s="2"/>
    </row>
    <row r="319" ht="18" customHeight="1">
      <c r="D319" s="2"/>
    </row>
    <row r="320" ht="18" customHeight="1">
      <c r="D320" s="2"/>
    </row>
    <row r="321" ht="18" customHeight="1">
      <c r="D321" s="2"/>
    </row>
    <row r="322" ht="18" customHeight="1">
      <c r="D322" s="2"/>
    </row>
    <row r="323" ht="18" customHeight="1">
      <c r="D323" s="2"/>
    </row>
    <row r="324" ht="18" customHeight="1">
      <c r="D324" s="2"/>
    </row>
    <row r="325" ht="18" customHeight="1">
      <c r="D325" s="2"/>
    </row>
    <row r="326" ht="18" customHeight="1">
      <c r="D326" s="2"/>
    </row>
    <row r="327" ht="18" customHeight="1">
      <c r="D327" s="2"/>
    </row>
    <row r="328" ht="18" customHeight="1">
      <c r="D328" s="2"/>
    </row>
    <row r="329" ht="18" customHeight="1">
      <c r="D329" s="2"/>
    </row>
    <row r="330" ht="18" customHeight="1">
      <c r="D330" s="2"/>
    </row>
    <row r="331" ht="18" customHeight="1">
      <c r="D331" s="2"/>
    </row>
    <row r="332" ht="18" customHeight="1">
      <c r="D332" s="2"/>
    </row>
    <row r="333" ht="18" customHeight="1">
      <c r="D333" s="2"/>
    </row>
    <row r="334" ht="18" customHeight="1">
      <c r="D334" s="2"/>
    </row>
    <row r="335" ht="18" customHeight="1">
      <c r="D335" s="2"/>
    </row>
    <row r="336" ht="18" customHeight="1">
      <c r="D336" s="2"/>
    </row>
    <row r="337" ht="18" customHeight="1">
      <c r="D337" s="2"/>
    </row>
    <row r="338" ht="18" customHeight="1">
      <c r="D338" s="2"/>
    </row>
    <row r="339" ht="18" customHeight="1">
      <c r="D339" s="2"/>
    </row>
    <row r="340" ht="18" customHeight="1">
      <c r="D340" s="2"/>
    </row>
    <row r="341" ht="18" customHeight="1">
      <c r="D341" s="2"/>
    </row>
    <row r="342" ht="18" customHeight="1">
      <c r="D342" s="2"/>
    </row>
    <row r="343" ht="18" customHeight="1">
      <c r="D343" s="2"/>
    </row>
    <row r="344" ht="18" customHeight="1">
      <c r="D344" s="2"/>
    </row>
    <row r="345" ht="18" customHeight="1">
      <c r="D345" s="2"/>
    </row>
    <row r="346" ht="18" customHeight="1">
      <c r="D346" s="2"/>
    </row>
    <row r="347" ht="18" customHeight="1">
      <c r="D347" s="2"/>
    </row>
    <row r="348" ht="18" customHeight="1">
      <c r="D348" s="2"/>
    </row>
    <row r="349" ht="18" customHeight="1">
      <c r="D349" s="2"/>
    </row>
    <row r="350" ht="18" customHeight="1">
      <c r="D350" s="2"/>
    </row>
    <row r="351" ht="18" customHeight="1">
      <c r="D351" s="2"/>
    </row>
    <row r="352" ht="18" customHeight="1">
      <c r="D352" s="2"/>
    </row>
    <row r="353" ht="18" customHeight="1">
      <c r="D353" s="2"/>
    </row>
    <row r="354" ht="18" customHeight="1">
      <c r="D354" s="2"/>
    </row>
    <row r="355" ht="18" customHeight="1">
      <c r="D355" s="2"/>
    </row>
    <row r="356" ht="18" customHeight="1">
      <c r="D356" s="2"/>
    </row>
    <row r="357" ht="18" customHeight="1">
      <c r="D357" s="2"/>
    </row>
    <row r="358" ht="18" customHeight="1">
      <c r="D358" s="2"/>
    </row>
    <row r="359" ht="18" customHeight="1">
      <c r="D359" s="2"/>
    </row>
    <row r="360" ht="18" customHeight="1">
      <c r="D360" s="2"/>
    </row>
    <row r="361" ht="18" customHeight="1">
      <c r="D361" s="2"/>
    </row>
    <row r="362" ht="18" customHeight="1">
      <c r="D362" s="2"/>
    </row>
    <row r="363" ht="18" customHeight="1">
      <c r="D363" s="2"/>
    </row>
    <row r="364" ht="18" customHeight="1">
      <c r="D364" s="2"/>
    </row>
    <row r="365" ht="18" customHeight="1">
      <c r="D365" s="2"/>
    </row>
    <row r="366" ht="18" customHeight="1">
      <c r="D366" s="2"/>
    </row>
    <row r="367" ht="18" customHeight="1">
      <c r="D367" s="2"/>
    </row>
    <row r="368" ht="18" customHeight="1">
      <c r="D368" s="2"/>
    </row>
    <row r="369" ht="18" customHeight="1">
      <c r="D369" s="2"/>
    </row>
    <row r="370" ht="18" customHeight="1">
      <c r="D370" s="2"/>
    </row>
    <row r="371" ht="18" customHeight="1">
      <c r="D371" s="2"/>
    </row>
    <row r="372" ht="18" customHeight="1">
      <c r="D372" s="2"/>
    </row>
    <row r="373" ht="18" customHeight="1">
      <c r="D373" s="2"/>
    </row>
    <row r="374" ht="18" customHeight="1">
      <c r="D374" s="2"/>
    </row>
    <row r="375" ht="18" customHeight="1">
      <c r="D375" s="2"/>
    </row>
    <row r="376" ht="18" customHeight="1">
      <c r="D376" s="2"/>
    </row>
    <row r="377" ht="18" customHeight="1">
      <c r="D377" s="2"/>
    </row>
    <row r="378" ht="18" customHeight="1">
      <c r="D378" s="2"/>
    </row>
    <row r="379" ht="18" customHeight="1">
      <c r="D379" s="2"/>
    </row>
    <row r="380" ht="18" customHeight="1">
      <c r="D380" s="2"/>
    </row>
    <row r="381" ht="18" customHeight="1">
      <c r="D381" s="2"/>
    </row>
    <row r="382" ht="18" customHeight="1">
      <c r="D382" s="2"/>
    </row>
    <row r="383" ht="18" customHeight="1">
      <c r="D383" s="2"/>
    </row>
    <row r="384" ht="18" customHeight="1">
      <c r="D384" s="2"/>
    </row>
    <row r="385" ht="18" customHeight="1">
      <c r="D385" s="2"/>
    </row>
    <row r="386" ht="18" customHeight="1">
      <c r="D386" s="2"/>
    </row>
    <row r="387" ht="18" customHeight="1">
      <c r="D387" s="2"/>
    </row>
    <row r="388" ht="18" customHeight="1">
      <c r="D388" s="2"/>
    </row>
    <row r="389" ht="18" customHeight="1">
      <c r="D389" s="2"/>
    </row>
    <row r="390" ht="18" customHeight="1">
      <c r="D390" s="2"/>
    </row>
    <row r="391" ht="18" customHeight="1">
      <c r="D391" s="2"/>
    </row>
    <row r="392" ht="18" customHeight="1">
      <c r="D392" s="2"/>
    </row>
    <row r="393" ht="18" customHeight="1">
      <c r="D393" s="2"/>
    </row>
    <row r="394" ht="18" customHeight="1">
      <c r="D394" s="2"/>
    </row>
    <row r="395" ht="18" customHeight="1">
      <c r="D395" s="2"/>
    </row>
    <row r="396" ht="18" customHeight="1">
      <c r="D396" s="2"/>
    </row>
    <row r="397" ht="18" customHeight="1">
      <c r="D397" s="2"/>
    </row>
    <row r="398" ht="18" customHeight="1">
      <c r="D398" s="2"/>
    </row>
    <row r="399" ht="18" customHeight="1">
      <c r="D399" s="2"/>
    </row>
    <row r="400" ht="18" customHeight="1">
      <c r="D400" s="2"/>
    </row>
    <row r="401" ht="18" customHeight="1">
      <c r="D401" s="2"/>
    </row>
    <row r="402" ht="18" customHeight="1">
      <c r="D402" s="2"/>
    </row>
    <row r="403" ht="18" customHeight="1">
      <c r="D403" s="2"/>
    </row>
    <row r="404" ht="18" customHeight="1">
      <c r="D404" s="2"/>
    </row>
    <row r="405" ht="18" customHeight="1">
      <c r="D405" s="2"/>
    </row>
    <row r="406" ht="18" customHeight="1">
      <c r="D406" s="2"/>
    </row>
    <row r="407" ht="18" customHeight="1">
      <c r="D407" s="2"/>
    </row>
    <row r="408" ht="18" customHeight="1">
      <c r="D408" s="2"/>
    </row>
    <row r="409" ht="18" customHeight="1">
      <c r="D409" s="2"/>
    </row>
    <row r="410" ht="18" customHeight="1">
      <c r="D410" s="2"/>
    </row>
    <row r="411" ht="18" customHeight="1">
      <c r="D411" s="2"/>
    </row>
    <row r="412" ht="18" customHeight="1">
      <c r="D412" s="2"/>
    </row>
    <row r="413" ht="18" customHeight="1">
      <c r="D413" s="2"/>
    </row>
    <row r="414" ht="18" customHeight="1">
      <c r="D414" s="2"/>
    </row>
    <row r="415" ht="18" customHeight="1">
      <c r="D415" s="2"/>
    </row>
    <row r="416" ht="18" customHeight="1">
      <c r="D416" s="2"/>
    </row>
    <row r="417" ht="18" customHeight="1">
      <c r="D417" s="2"/>
    </row>
    <row r="418" ht="18" customHeight="1">
      <c r="D418" s="2"/>
    </row>
    <row r="419" ht="18" customHeight="1">
      <c r="D419" s="2"/>
    </row>
    <row r="420" ht="18" customHeight="1">
      <c r="D420" s="2"/>
    </row>
    <row r="421" ht="18" customHeight="1">
      <c r="D421" s="2"/>
    </row>
    <row r="422" ht="18" customHeight="1">
      <c r="D422" s="2"/>
    </row>
    <row r="423" ht="18" customHeight="1">
      <c r="D423" s="2"/>
    </row>
    <row r="424" ht="18" customHeight="1">
      <c r="D424" s="2"/>
    </row>
    <row r="425" ht="18" customHeight="1">
      <c r="D425" s="2"/>
    </row>
    <row r="426" ht="18" customHeight="1">
      <c r="D426" s="2"/>
    </row>
    <row r="427" ht="18" customHeight="1">
      <c r="D427" s="2"/>
    </row>
    <row r="428" ht="18" customHeight="1">
      <c r="D428" s="2"/>
    </row>
    <row r="429" ht="18" customHeight="1">
      <c r="D429" s="2"/>
    </row>
    <row r="430" ht="18" customHeight="1">
      <c r="D430" s="2"/>
    </row>
    <row r="431" ht="18" customHeight="1">
      <c r="D431" s="2"/>
    </row>
    <row r="432" ht="18" customHeight="1">
      <c r="D432" s="2"/>
    </row>
    <row r="433" ht="18" customHeight="1">
      <c r="D433" s="2"/>
    </row>
    <row r="434" ht="18" customHeight="1">
      <c r="D434" s="2"/>
    </row>
    <row r="435" ht="18" customHeight="1">
      <c r="D435" s="2"/>
    </row>
    <row r="436" ht="18" customHeight="1">
      <c r="D436" s="2"/>
    </row>
    <row r="437" ht="18" customHeight="1">
      <c r="D437" s="2"/>
    </row>
    <row r="438" ht="18" customHeight="1">
      <c r="D438" s="2"/>
    </row>
    <row r="439" ht="18" customHeight="1">
      <c r="D439" s="2"/>
    </row>
    <row r="440" ht="18" customHeight="1">
      <c r="D440" s="2"/>
    </row>
    <row r="441" ht="18" customHeight="1">
      <c r="D441" s="2"/>
    </row>
    <row r="442" ht="18" customHeight="1">
      <c r="D442" s="2"/>
    </row>
    <row r="443" ht="18" customHeight="1">
      <c r="D443" s="2"/>
    </row>
    <row r="444" ht="18" customHeight="1">
      <c r="D444" s="2"/>
    </row>
    <row r="445" ht="18" customHeight="1">
      <c r="D445" s="2"/>
    </row>
    <row r="446" ht="18" customHeight="1">
      <c r="D446" s="2"/>
    </row>
    <row r="447" ht="18" customHeight="1">
      <c r="D447" s="2"/>
    </row>
    <row r="448" ht="18" customHeight="1">
      <c r="D448" s="2"/>
    </row>
    <row r="449" ht="18" customHeight="1">
      <c r="D449" s="2"/>
    </row>
    <row r="450" ht="18" customHeight="1">
      <c r="D450" s="2"/>
    </row>
    <row r="451" ht="18" customHeight="1">
      <c r="D451" s="2"/>
    </row>
    <row r="452" ht="18" customHeight="1">
      <c r="D452" s="2"/>
    </row>
    <row r="453" ht="18" customHeight="1">
      <c r="D453" s="2"/>
    </row>
    <row r="454" ht="18" customHeight="1">
      <c r="D454" s="2"/>
    </row>
    <row r="455" ht="18" customHeight="1">
      <c r="D455" s="2"/>
    </row>
    <row r="456" ht="18" customHeight="1">
      <c r="D456" s="2"/>
    </row>
    <row r="457" ht="18" customHeight="1">
      <c r="D457" s="2"/>
    </row>
    <row r="458" ht="18" customHeight="1">
      <c r="D458" s="2"/>
    </row>
    <row r="459" ht="18" customHeight="1">
      <c r="D459" s="2"/>
    </row>
    <row r="460" ht="18" customHeight="1">
      <c r="D460" s="2"/>
    </row>
    <row r="461" ht="18" customHeight="1">
      <c r="D461" s="2"/>
    </row>
    <row r="462" ht="18" customHeight="1">
      <c r="D462" s="2"/>
    </row>
    <row r="463" ht="18" customHeight="1">
      <c r="D463" s="2"/>
    </row>
    <row r="464" ht="18" customHeight="1">
      <c r="D464" s="2"/>
    </row>
    <row r="465" ht="18" customHeight="1">
      <c r="D465" s="2"/>
    </row>
    <row r="466" ht="18" customHeight="1">
      <c r="D466" s="2"/>
    </row>
    <row r="467" ht="18" customHeight="1">
      <c r="D467" s="2"/>
    </row>
    <row r="468" ht="18" customHeight="1">
      <c r="D468" s="2"/>
    </row>
    <row r="469" ht="18" customHeight="1">
      <c r="D469" s="2"/>
    </row>
    <row r="470" ht="18" customHeight="1">
      <c r="D470" s="2"/>
    </row>
    <row r="471" ht="18" customHeight="1">
      <c r="D471" s="2"/>
    </row>
    <row r="472" ht="18" customHeight="1">
      <c r="D472" s="2"/>
    </row>
    <row r="473" ht="18" customHeight="1">
      <c r="D473" s="2"/>
    </row>
    <row r="474" ht="18" customHeight="1">
      <c r="D474" s="2"/>
    </row>
    <row r="475" ht="18" customHeight="1">
      <c r="D475" s="2"/>
    </row>
    <row r="476" ht="18" customHeight="1">
      <c r="D476" s="2"/>
    </row>
    <row r="477" ht="18" customHeight="1">
      <c r="D477" s="2"/>
    </row>
    <row r="478" ht="18" customHeight="1">
      <c r="D478" s="2"/>
    </row>
    <row r="479" ht="18" customHeight="1">
      <c r="D479" s="2"/>
    </row>
    <row r="480" ht="18" customHeight="1">
      <c r="D480" s="2"/>
    </row>
    <row r="481" ht="18" customHeight="1">
      <c r="D481" s="2"/>
    </row>
    <row r="482" ht="18" customHeight="1">
      <c r="D482" s="2"/>
    </row>
    <row r="483" ht="18" customHeight="1">
      <c r="D483" s="2"/>
    </row>
    <row r="484" ht="18" customHeight="1">
      <c r="D484" s="2"/>
    </row>
    <row r="485" ht="18" customHeight="1">
      <c r="D485" s="2"/>
    </row>
    <row r="486" ht="18" customHeight="1">
      <c r="D486" s="2"/>
    </row>
    <row r="487" ht="18" customHeight="1">
      <c r="D487" s="2"/>
    </row>
    <row r="488" ht="18" customHeight="1">
      <c r="D488" s="2"/>
    </row>
    <row r="489" ht="18" customHeight="1">
      <c r="D489" s="2"/>
    </row>
    <row r="490" ht="18" customHeight="1">
      <c r="D490" s="2"/>
    </row>
    <row r="491" ht="18" customHeight="1">
      <c r="D491" s="2"/>
    </row>
    <row r="492" ht="18" customHeight="1">
      <c r="D492" s="2"/>
    </row>
    <row r="493" ht="18" customHeight="1">
      <c r="D493" s="2"/>
    </row>
    <row r="494" ht="18" customHeight="1">
      <c r="D494" s="2"/>
    </row>
    <row r="495" ht="18" customHeight="1">
      <c r="D495" s="2"/>
    </row>
    <row r="496" ht="18" customHeight="1">
      <c r="D496" s="2"/>
    </row>
    <row r="497" ht="18" customHeight="1">
      <c r="D497" s="2"/>
    </row>
    <row r="498" ht="18" customHeight="1">
      <c r="D498" s="2"/>
    </row>
    <row r="499" ht="18" customHeight="1">
      <c r="D499" s="2"/>
    </row>
    <row r="500" ht="18" customHeight="1">
      <c r="D500" s="2"/>
    </row>
    <row r="501" ht="18" customHeight="1">
      <c r="D501" s="2"/>
    </row>
    <row r="502" ht="18" customHeight="1">
      <c r="D502" s="2"/>
    </row>
    <row r="503" ht="18" customHeight="1">
      <c r="D503" s="2"/>
    </row>
    <row r="504" ht="18" customHeight="1">
      <c r="D504" s="2"/>
    </row>
    <row r="505" ht="18" customHeight="1">
      <c r="D505" s="2"/>
    </row>
    <row r="506" ht="18" customHeight="1">
      <c r="D506" s="2"/>
    </row>
    <row r="507" ht="18" customHeight="1">
      <c r="D507" s="2"/>
    </row>
    <row r="508" ht="18" customHeight="1">
      <c r="D508" s="2"/>
    </row>
    <row r="509" ht="18" customHeight="1">
      <c r="D509" s="2"/>
    </row>
    <row r="510" ht="18" customHeight="1">
      <c r="D510" s="2"/>
    </row>
    <row r="511" ht="18" customHeight="1">
      <c r="D511" s="2"/>
    </row>
    <row r="512" ht="18" customHeight="1">
      <c r="D512" s="2"/>
    </row>
    <row r="513" ht="18" customHeight="1">
      <c r="D513" s="2"/>
    </row>
    <row r="514" ht="18" customHeight="1">
      <c r="D514" s="2"/>
    </row>
    <row r="515" ht="18" customHeight="1">
      <c r="D515" s="2"/>
    </row>
    <row r="516" ht="18" customHeight="1">
      <c r="D516" s="2"/>
    </row>
    <row r="517" ht="18" customHeight="1">
      <c r="D517" s="2"/>
    </row>
    <row r="518" ht="18" customHeight="1">
      <c r="D518" s="2"/>
    </row>
    <row r="519" ht="18" customHeight="1">
      <c r="D519" s="2"/>
    </row>
    <row r="520" ht="18" customHeight="1">
      <c r="D520" s="2"/>
    </row>
    <row r="521" ht="18" customHeight="1">
      <c r="D521" s="2"/>
    </row>
    <row r="522" ht="18" customHeight="1">
      <c r="D522" s="2"/>
    </row>
    <row r="523" ht="18" customHeight="1">
      <c r="D523" s="2"/>
    </row>
    <row r="524" ht="18" customHeight="1">
      <c r="D524" s="2"/>
    </row>
    <row r="525" ht="18" customHeight="1">
      <c r="D525" s="2"/>
    </row>
    <row r="526" ht="18" customHeight="1">
      <c r="D526" s="2"/>
    </row>
    <row r="527" ht="18" customHeight="1">
      <c r="D527" s="2"/>
    </row>
    <row r="528" ht="18" customHeight="1">
      <c r="D528" s="2"/>
    </row>
    <row r="529" ht="18" customHeight="1">
      <c r="D529" s="2"/>
    </row>
    <row r="530" ht="18" customHeight="1">
      <c r="D530" s="2"/>
    </row>
    <row r="531" ht="18" customHeight="1">
      <c r="D531" s="2"/>
    </row>
    <row r="532" ht="18" customHeight="1">
      <c r="D532" s="2"/>
    </row>
    <row r="533" ht="18" customHeight="1">
      <c r="D533" s="2"/>
    </row>
    <row r="534" ht="18" customHeight="1">
      <c r="D534" s="2"/>
    </row>
    <row r="535" ht="18" customHeight="1">
      <c r="D535" s="2"/>
    </row>
    <row r="536" ht="18" customHeight="1">
      <c r="D536" s="2"/>
    </row>
    <row r="537" ht="18" customHeight="1">
      <c r="D537" s="2"/>
    </row>
    <row r="538" ht="18" customHeight="1">
      <c r="D538" s="2"/>
    </row>
    <row r="539" ht="18" customHeight="1">
      <c r="D539" s="2"/>
    </row>
    <row r="540" ht="18" customHeight="1">
      <c r="D540" s="2"/>
    </row>
    <row r="541" ht="18" customHeight="1">
      <c r="D541" s="2"/>
    </row>
    <row r="542" ht="18" customHeight="1">
      <c r="D542" s="2"/>
    </row>
    <row r="543" ht="18" customHeight="1">
      <c r="D543" s="2"/>
    </row>
    <row r="544" ht="18" customHeight="1">
      <c r="D544" s="2"/>
    </row>
    <row r="545" ht="18" customHeight="1">
      <c r="D545" s="2"/>
    </row>
    <row r="546" ht="18" customHeight="1">
      <c r="D546" s="2"/>
    </row>
    <row r="547" ht="18" customHeight="1">
      <c r="D547" s="2"/>
    </row>
    <row r="548" ht="18" customHeight="1">
      <c r="D548" s="2"/>
    </row>
    <row r="549" ht="18" customHeight="1">
      <c r="D549" s="2"/>
    </row>
    <row r="550" ht="18" customHeight="1">
      <c r="D550" s="2"/>
    </row>
    <row r="551" ht="18" customHeight="1">
      <c r="D551" s="2"/>
    </row>
    <row r="552" ht="18" customHeight="1">
      <c r="D552" s="2"/>
    </row>
    <row r="553" ht="18" customHeight="1">
      <c r="D553" s="2"/>
    </row>
    <row r="554" ht="18" customHeight="1">
      <c r="D554" s="2"/>
    </row>
    <row r="555" ht="18" customHeight="1">
      <c r="D555" s="2"/>
    </row>
    <row r="556" ht="18" customHeight="1">
      <c r="D556" s="2"/>
    </row>
    <row r="557" ht="18" customHeight="1">
      <c r="D557" s="2"/>
    </row>
    <row r="558" ht="18" customHeight="1">
      <c r="D558" s="2"/>
    </row>
    <row r="559" ht="18" customHeight="1">
      <c r="D559" s="2"/>
    </row>
    <row r="560" ht="18" customHeight="1">
      <c r="D560" s="2"/>
    </row>
    <row r="561" ht="18" customHeight="1">
      <c r="D561" s="2"/>
    </row>
    <row r="562" ht="18" customHeight="1">
      <c r="D562" s="2"/>
    </row>
    <row r="563" ht="18" customHeight="1">
      <c r="D563" s="2"/>
    </row>
    <row r="564" ht="18" customHeight="1">
      <c r="D564" s="2"/>
    </row>
    <row r="565" ht="18" customHeight="1">
      <c r="D565" s="2"/>
    </row>
    <row r="566" ht="18" customHeight="1">
      <c r="D566" s="2"/>
    </row>
    <row r="567" ht="18" customHeight="1">
      <c r="D567" s="2"/>
    </row>
    <row r="568" ht="18" customHeight="1">
      <c r="D568" s="2"/>
    </row>
    <row r="569" ht="18" customHeight="1">
      <c r="D569" s="2"/>
    </row>
    <row r="570" ht="18" customHeight="1">
      <c r="D570" s="2"/>
    </row>
    <row r="571" ht="18" customHeight="1">
      <c r="D571" s="2"/>
    </row>
    <row r="572" ht="18" customHeight="1">
      <c r="D572" s="2"/>
    </row>
    <row r="573" ht="18" customHeight="1">
      <c r="D573" s="2"/>
    </row>
    <row r="574" ht="18" customHeight="1">
      <c r="D574" s="2"/>
    </row>
    <row r="575" ht="18" customHeight="1">
      <c r="D575" s="2"/>
    </row>
    <row r="576" ht="18" customHeight="1">
      <c r="D576" s="2"/>
    </row>
    <row r="577" ht="18" customHeight="1">
      <c r="D577" s="2"/>
    </row>
    <row r="578" ht="18" customHeight="1">
      <c r="D578" s="2"/>
    </row>
    <row r="579" ht="18" customHeight="1">
      <c r="D579" s="2"/>
    </row>
    <row r="580" ht="18" customHeight="1">
      <c r="D580" s="2"/>
    </row>
    <row r="581" ht="18" customHeight="1">
      <c r="D581" s="2"/>
    </row>
    <row r="582" ht="18" customHeight="1">
      <c r="D582" s="2"/>
    </row>
    <row r="583" ht="18" customHeight="1">
      <c r="D583" s="2"/>
    </row>
    <row r="584" ht="18" customHeight="1">
      <c r="D584" s="2"/>
    </row>
    <row r="585" ht="18" customHeight="1">
      <c r="D585" s="2"/>
    </row>
    <row r="586" ht="18" customHeight="1">
      <c r="D586" s="2"/>
    </row>
    <row r="587" ht="18" customHeight="1">
      <c r="D587" s="2"/>
    </row>
    <row r="588" ht="18" customHeight="1">
      <c r="D588" s="2"/>
    </row>
    <row r="589" ht="18" customHeight="1">
      <c r="D589" s="2"/>
    </row>
    <row r="590" ht="18" customHeight="1">
      <c r="D590" s="2"/>
    </row>
    <row r="591" ht="18" customHeight="1">
      <c r="D591" s="2"/>
    </row>
    <row r="592" ht="18" customHeight="1">
      <c r="D592" s="2"/>
    </row>
    <row r="593" ht="18" customHeight="1">
      <c r="D593" s="2"/>
    </row>
    <row r="594" ht="18" customHeight="1">
      <c r="D594" s="2"/>
    </row>
    <row r="595" ht="18" customHeight="1">
      <c r="D595" s="2"/>
    </row>
    <row r="596" ht="18" customHeight="1">
      <c r="D596" s="2"/>
    </row>
    <row r="597" ht="18" customHeight="1">
      <c r="D597" s="2"/>
    </row>
    <row r="598" ht="18" customHeight="1">
      <c r="D598" s="2"/>
    </row>
    <row r="599" ht="18" customHeight="1">
      <c r="D599" s="2"/>
    </row>
    <row r="600" ht="18" customHeight="1">
      <c r="D600" s="2"/>
    </row>
    <row r="601" ht="18" customHeight="1">
      <c r="D601" s="2"/>
    </row>
    <row r="602" ht="18" customHeight="1">
      <c r="D602" s="2"/>
    </row>
    <row r="603" ht="18" customHeight="1">
      <c r="D603" s="2"/>
    </row>
    <row r="604" ht="18" customHeight="1">
      <c r="D604" s="2"/>
    </row>
    <row r="605" ht="18" customHeight="1">
      <c r="D605" s="2"/>
    </row>
    <row r="606" ht="18" customHeight="1">
      <c r="D606" s="2"/>
    </row>
    <row r="607" ht="18" customHeight="1">
      <c r="D607" s="2"/>
    </row>
    <row r="608" ht="18" customHeight="1">
      <c r="D608" s="2"/>
    </row>
    <row r="609" ht="18" customHeight="1">
      <c r="D609" s="2"/>
    </row>
    <row r="610" ht="18" customHeight="1">
      <c r="D610" s="2"/>
    </row>
    <row r="611" ht="18" customHeight="1">
      <c r="D611" s="2"/>
    </row>
    <row r="612" ht="18" customHeight="1">
      <c r="D612" s="2"/>
    </row>
    <row r="613" ht="18" customHeight="1">
      <c r="D613" s="2"/>
    </row>
    <row r="614" ht="18" customHeight="1">
      <c r="D614" s="2"/>
    </row>
    <row r="615" ht="18" customHeight="1">
      <c r="D615" s="2"/>
    </row>
    <row r="616" ht="18" customHeight="1">
      <c r="D616" s="2"/>
    </row>
    <row r="617" ht="18" customHeight="1">
      <c r="D617" s="2"/>
    </row>
    <row r="618" ht="18" customHeight="1">
      <c r="D618" s="2"/>
    </row>
    <row r="619" ht="18" customHeight="1">
      <c r="D619" s="2"/>
    </row>
    <row r="620" ht="18" customHeight="1">
      <c r="D620" s="2"/>
    </row>
    <row r="621" ht="18" customHeight="1">
      <c r="D621" s="2"/>
    </row>
    <row r="622" ht="18" customHeight="1">
      <c r="D622" s="2"/>
    </row>
    <row r="623" ht="18" customHeight="1">
      <c r="D623" s="2"/>
    </row>
    <row r="624" ht="18" customHeight="1">
      <c r="D624" s="2"/>
    </row>
    <row r="625" ht="18" customHeight="1">
      <c r="D625" s="2"/>
    </row>
    <row r="626" ht="18" customHeight="1">
      <c r="D626" s="2"/>
    </row>
    <row r="627" ht="18" customHeight="1">
      <c r="D627" s="2"/>
    </row>
    <row r="628" ht="18" customHeight="1">
      <c r="D628" s="2"/>
    </row>
    <row r="629" ht="18" customHeight="1">
      <c r="D629" s="2"/>
    </row>
    <row r="630" ht="18" customHeight="1">
      <c r="D630" s="2"/>
    </row>
    <row r="631" ht="18" customHeight="1">
      <c r="D631" s="2"/>
    </row>
    <row r="632" ht="18" customHeight="1">
      <c r="D632" s="2"/>
    </row>
    <row r="633" ht="18" customHeight="1">
      <c r="D633" s="2"/>
    </row>
    <row r="634" ht="18" customHeight="1">
      <c r="D634" s="2"/>
    </row>
    <row r="635" ht="18" customHeight="1">
      <c r="D635" s="2"/>
    </row>
    <row r="636" ht="18" customHeight="1">
      <c r="D636" s="2"/>
    </row>
    <row r="637" ht="18" customHeight="1">
      <c r="D637" s="2"/>
    </row>
    <row r="638" ht="18" customHeight="1">
      <c r="D638" s="2"/>
    </row>
    <row r="639" ht="18" customHeight="1">
      <c r="D639" s="2"/>
    </row>
    <row r="640" ht="18" customHeight="1">
      <c r="D640" s="2"/>
    </row>
    <row r="641" ht="18" customHeight="1">
      <c r="D641" s="2"/>
    </row>
    <row r="642" ht="18" customHeight="1">
      <c r="D642" s="2"/>
    </row>
    <row r="643" ht="18" customHeight="1">
      <c r="D643" s="2"/>
    </row>
    <row r="644" ht="18" customHeight="1">
      <c r="D644" s="2"/>
    </row>
    <row r="645" ht="18" customHeight="1">
      <c r="D645" s="2"/>
    </row>
    <row r="646" ht="18" customHeight="1">
      <c r="D646" s="2"/>
    </row>
    <row r="647" ht="18" customHeight="1">
      <c r="D647" s="2"/>
    </row>
    <row r="648" ht="18" customHeight="1">
      <c r="D648" s="2"/>
    </row>
    <row r="649" ht="18" customHeight="1">
      <c r="D649" s="2"/>
    </row>
    <row r="650" ht="18" customHeight="1">
      <c r="D650" s="2"/>
    </row>
    <row r="651" ht="18" customHeight="1">
      <c r="D651" s="2"/>
    </row>
    <row r="652" ht="18" customHeight="1">
      <c r="D652" s="2"/>
    </row>
    <row r="653" ht="18" customHeight="1">
      <c r="D653" s="2"/>
    </row>
    <row r="654" ht="18" customHeight="1">
      <c r="D654" s="2"/>
    </row>
    <row r="655" ht="18" customHeight="1">
      <c r="D655" s="2"/>
    </row>
    <row r="656" ht="18" customHeight="1">
      <c r="D656" s="2"/>
    </row>
    <row r="657" ht="18" customHeight="1">
      <c r="D657" s="2"/>
    </row>
    <row r="658" ht="18" customHeight="1">
      <c r="D658" s="2"/>
    </row>
    <row r="659" ht="18" customHeight="1">
      <c r="D659" s="2"/>
    </row>
    <row r="660" ht="18" customHeight="1">
      <c r="D660" s="2"/>
    </row>
    <row r="661" ht="18" customHeight="1">
      <c r="D661" s="2"/>
    </row>
    <row r="662" ht="18" customHeight="1">
      <c r="D662" s="2"/>
    </row>
    <row r="663" ht="18" customHeight="1">
      <c r="D663" s="2"/>
    </row>
    <row r="664" ht="18" customHeight="1">
      <c r="D664" s="2"/>
    </row>
    <row r="665" ht="18" customHeight="1">
      <c r="D665" s="2"/>
    </row>
    <row r="666" ht="18" customHeight="1">
      <c r="D666" s="2"/>
    </row>
    <row r="667" ht="18" customHeight="1">
      <c r="D667" s="2"/>
    </row>
    <row r="668" ht="18" customHeight="1">
      <c r="D668" s="2"/>
    </row>
    <row r="669" ht="18" customHeight="1">
      <c r="D669" s="2"/>
    </row>
    <row r="670" ht="18" customHeight="1">
      <c r="D670" s="2"/>
    </row>
    <row r="671" ht="18" customHeight="1">
      <c r="D671" s="2"/>
    </row>
    <row r="672" ht="18" customHeight="1">
      <c r="D672" s="2"/>
    </row>
    <row r="673" ht="18" customHeight="1">
      <c r="D673" s="2"/>
    </row>
    <row r="674" ht="18" customHeight="1">
      <c r="D674" s="2"/>
    </row>
    <row r="675" ht="18" customHeight="1">
      <c r="D675" s="2"/>
    </row>
    <row r="676" ht="18" customHeight="1">
      <c r="D676" s="2"/>
    </row>
    <row r="677" ht="18" customHeight="1">
      <c r="D677" s="2"/>
    </row>
    <row r="678" ht="18" customHeight="1">
      <c r="D678" s="2"/>
    </row>
    <row r="679" ht="18" customHeight="1">
      <c r="D679" s="2"/>
    </row>
    <row r="680" ht="18" customHeight="1">
      <c r="D680" s="2"/>
    </row>
    <row r="681" ht="18" customHeight="1">
      <c r="D681" s="2"/>
    </row>
    <row r="682" ht="18" customHeight="1">
      <c r="D682" s="2"/>
    </row>
    <row r="683" ht="18" customHeight="1">
      <c r="D683" s="2"/>
    </row>
    <row r="684" ht="18" customHeight="1">
      <c r="D684" s="2"/>
    </row>
    <row r="685" ht="18" customHeight="1">
      <c r="D685" s="2"/>
    </row>
    <row r="686" ht="18" customHeight="1">
      <c r="D686" s="2"/>
    </row>
    <row r="687" ht="18" customHeight="1">
      <c r="D687" s="2"/>
    </row>
    <row r="688" ht="18" customHeight="1">
      <c r="D688" s="2"/>
    </row>
    <row r="689" ht="18" customHeight="1">
      <c r="D689" s="2"/>
    </row>
    <row r="690" ht="18" customHeight="1">
      <c r="D690" s="2"/>
    </row>
    <row r="691" ht="18" customHeight="1">
      <c r="D691" s="2"/>
    </row>
    <row r="692" ht="18" customHeight="1">
      <c r="D692" s="2"/>
    </row>
    <row r="693" ht="18" customHeight="1">
      <c r="D693" s="2"/>
    </row>
    <row r="694" ht="18" customHeight="1">
      <c r="D694" s="2"/>
    </row>
    <row r="695" ht="18" customHeight="1">
      <c r="D695" s="2"/>
    </row>
    <row r="696" ht="18" customHeight="1">
      <c r="D696" s="2"/>
    </row>
    <row r="697" ht="18" customHeight="1">
      <c r="D697" s="2"/>
    </row>
    <row r="698" ht="18" customHeight="1">
      <c r="D698" s="2"/>
    </row>
    <row r="699" ht="18" customHeight="1">
      <c r="D699" s="2"/>
    </row>
    <row r="700" ht="18" customHeight="1">
      <c r="D700" s="2"/>
    </row>
    <row r="701" ht="18" customHeight="1">
      <c r="D701" s="2"/>
    </row>
    <row r="702" ht="18" customHeight="1">
      <c r="D702" s="2"/>
    </row>
    <row r="703" ht="18" customHeight="1">
      <c r="D703" s="2"/>
    </row>
    <row r="704" ht="18" customHeight="1">
      <c r="D704" s="2"/>
    </row>
    <row r="705" ht="18" customHeight="1">
      <c r="D705" s="2"/>
    </row>
    <row r="706" ht="18" customHeight="1">
      <c r="D706" s="2"/>
    </row>
    <row r="707" ht="18" customHeight="1">
      <c r="D707" s="2"/>
    </row>
    <row r="708" ht="18" customHeight="1">
      <c r="D708" s="2"/>
    </row>
    <row r="709" ht="18" customHeight="1">
      <c r="D709" s="2"/>
    </row>
    <row r="710" ht="18" customHeight="1">
      <c r="D710" s="2"/>
    </row>
    <row r="711" ht="18" customHeight="1">
      <c r="D711" s="2"/>
    </row>
    <row r="712" ht="18" customHeight="1">
      <c r="D712" s="2"/>
    </row>
    <row r="713" ht="18" customHeight="1">
      <c r="D713" s="2"/>
    </row>
    <row r="714" ht="18" customHeight="1">
      <c r="D714" s="2"/>
    </row>
    <row r="715" ht="18" customHeight="1">
      <c r="D715" s="2"/>
    </row>
    <row r="716" ht="18" customHeight="1">
      <c r="D716" s="2"/>
    </row>
    <row r="717" ht="18" customHeight="1">
      <c r="D717" s="2"/>
    </row>
    <row r="718" ht="18" customHeight="1">
      <c r="D718" s="2"/>
    </row>
    <row r="719" ht="18" customHeight="1">
      <c r="D719" s="2"/>
    </row>
    <row r="720" ht="18" customHeight="1">
      <c r="D720" s="2"/>
    </row>
    <row r="721" ht="18" customHeight="1">
      <c r="D721" s="2"/>
    </row>
    <row r="722" ht="18" customHeight="1">
      <c r="D722" s="2"/>
    </row>
    <row r="723" ht="18" customHeight="1">
      <c r="D723" s="2"/>
    </row>
    <row r="724" ht="18" customHeight="1">
      <c r="D724" s="2"/>
    </row>
    <row r="725" ht="18" customHeight="1">
      <c r="D725" s="2"/>
    </row>
    <row r="726" ht="18" customHeight="1">
      <c r="D726" s="2"/>
    </row>
    <row r="727" ht="18" customHeight="1">
      <c r="D727" s="2"/>
    </row>
    <row r="728" ht="18" customHeight="1">
      <c r="D728" s="2"/>
    </row>
    <row r="729" ht="18" customHeight="1">
      <c r="D729" s="2"/>
    </row>
    <row r="730" ht="18" customHeight="1">
      <c r="D730" s="2"/>
    </row>
    <row r="731" ht="18" customHeight="1">
      <c r="D731" s="2"/>
    </row>
    <row r="732" ht="18" customHeight="1">
      <c r="D732" s="2"/>
    </row>
    <row r="733" ht="18" customHeight="1">
      <c r="D733" s="2"/>
    </row>
    <row r="734" ht="18" customHeight="1">
      <c r="D734" s="2"/>
    </row>
    <row r="735" ht="18" customHeight="1">
      <c r="D735" s="2"/>
    </row>
    <row r="736" ht="18" customHeight="1">
      <c r="D736" s="2"/>
    </row>
    <row r="737" ht="18" customHeight="1">
      <c r="D737" s="2"/>
    </row>
    <row r="738" ht="18" customHeight="1">
      <c r="D738" s="2"/>
    </row>
    <row r="739" ht="18" customHeight="1">
      <c r="D739" s="2"/>
    </row>
    <row r="740" ht="18" customHeight="1">
      <c r="D740" s="2"/>
    </row>
    <row r="741" ht="18" customHeight="1">
      <c r="D741" s="2"/>
    </row>
    <row r="742" ht="18" customHeight="1">
      <c r="D742" s="2"/>
    </row>
    <row r="743" ht="18" customHeight="1">
      <c r="D743" s="2"/>
    </row>
    <row r="744" ht="18" customHeight="1">
      <c r="D744" s="2"/>
    </row>
    <row r="745" ht="18" customHeight="1">
      <c r="D745" s="2"/>
    </row>
    <row r="746" ht="18" customHeight="1">
      <c r="D746" s="2"/>
    </row>
    <row r="747" ht="18" customHeight="1">
      <c r="D747" s="2"/>
    </row>
    <row r="748" ht="18" customHeight="1">
      <c r="D748" s="2"/>
    </row>
    <row r="749" ht="18" customHeight="1">
      <c r="D749" s="2"/>
    </row>
    <row r="750" ht="18" customHeight="1">
      <c r="D750" s="2"/>
    </row>
    <row r="751" ht="18" customHeight="1">
      <c r="D751" s="2"/>
    </row>
    <row r="752" ht="18" customHeight="1">
      <c r="D752" s="2"/>
    </row>
    <row r="753" ht="18" customHeight="1">
      <c r="D753" s="2"/>
    </row>
    <row r="754" ht="18" customHeight="1">
      <c r="D754" s="2"/>
    </row>
    <row r="755" ht="18" customHeight="1">
      <c r="D755" s="2"/>
    </row>
    <row r="756" ht="18" customHeight="1">
      <c r="D756" s="2"/>
    </row>
    <row r="757" ht="18" customHeight="1">
      <c r="D757" s="2"/>
    </row>
    <row r="758" ht="18" customHeight="1">
      <c r="D758" s="2"/>
    </row>
    <row r="759" ht="18" customHeight="1">
      <c r="D759" s="2"/>
    </row>
    <row r="760" ht="18" customHeight="1">
      <c r="D760" s="2"/>
    </row>
    <row r="761" ht="18" customHeight="1">
      <c r="D761" s="2"/>
    </row>
    <row r="762" ht="18" customHeight="1">
      <c r="D762" s="2"/>
    </row>
    <row r="763" ht="18" customHeight="1">
      <c r="D763" s="2"/>
    </row>
    <row r="764" ht="18" customHeight="1">
      <c r="D764" s="2"/>
    </row>
    <row r="765" ht="18" customHeight="1">
      <c r="D765" s="2"/>
    </row>
    <row r="766" ht="18" customHeight="1">
      <c r="D766" s="2"/>
    </row>
    <row r="767" ht="18" customHeight="1">
      <c r="D767" s="2"/>
    </row>
    <row r="768" ht="18" customHeight="1">
      <c r="D768" s="2"/>
    </row>
    <row r="769" ht="18" customHeight="1">
      <c r="D769" s="2"/>
    </row>
    <row r="770" ht="18" customHeight="1">
      <c r="D770" s="2"/>
    </row>
    <row r="771" ht="18" customHeight="1">
      <c r="D771" s="2"/>
    </row>
    <row r="772" ht="18" customHeight="1">
      <c r="D772" s="2"/>
    </row>
    <row r="773" ht="18" customHeight="1">
      <c r="D773" s="2"/>
    </row>
    <row r="774" ht="18" customHeight="1">
      <c r="D774" s="2"/>
    </row>
    <row r="775" ht="18" customHeight="1">
      <c r="D775" s="2"/>
    </row>
    <row r="776" ht="18" customHeight="1">
      <c r="D776" s="2"/>
    </row>
    <row r="777" ht="18" customHeight="1">
      <c r="D777" s="2"/>
    </row>
    <row r="778" ht="18" customHeight="1">
      <c r="D778" s="2"/>
    </row>
    <row r="779" ht="18" customHeight="1">
      <c r="D779" s="2"/>
    </row>
    <row r="780" ht="18" customHeight="1">
      <c r="D780" s="2"/>
    </row>
    <row r="781" ht="18" customHeight="1">
      <c r="D781" s="2"/>
    </row>
    <row r="782" ht="18" customHeight="1">
      <c r="D782" s="2"/>
    </row>
    <row r="783" ht="18" customHeight="1">
      <c r="D783" s="2"/>
    </row>
    <row r="784" ht="18" customHeight="1">
      <c r="D784" s="2"/>
    </row>
    <row r="785" ht="18" customHeight="1">
      <c r="D785" s="2"/>
    </row>
    <row r="786" ht="18" customHeight="1">
      <c r="D786" s="2"/>
    </row>
    <row r="787" ht="18" customHeight="1">
      <c r="D787" s="2"/>
    </row>
    <row r="788" ht="18" customHeight="1">
      <c r="D788" s="2"/>
    </row>
    <row r="789" ht="18" customHeight="1">
      <c r="D789" s="2"/>
    </row>
    <row r="790" ht="18" customHeight="1">
      <c r="D790" s="2"/>
    </row>
    <row r="791" ht="18" customHeight="1">
      <c r="D791" s="2"/>
    </row>
    <row r="792" ht="18" customHeight="1">
      <c r="D792" s="2"/>
    </row>
    <row r="793" ht="18" customHeight="1">
      <c r="D793" s="2"/>
    </row>
    <row r="794" ht="18" customHeight="1">
      <c r="D794" s="2"/>
    </row>
    <row r="795" ht="18" customHeight="1">
      <c r="D795" s="2"/>
    </row>
    <row r="796" ht="18" customHeight="1">
      <c r="D796" s="2"/>
    </row>
    <row r="797" ht="18" customHeight="1">
      <c r="D797" s="2"/>
    </row>
    <row r="798" ht="18" customHeight="1">
      <c r="D798" s="2"/>
    </row>
    <row r="799" ht="18" customHeight="1">
      <c r="D799" s="2"/>
    </row>
    <row r="800" ht="18" customHeight="1">
      <c r="D800" s="2"/>
    </row>
    <row r="801" ht="18" customHeight="1">
      <c r="D801" s="2"/>
    </row>
    <row r="802" ht="18" customHeight="1">
      <c r="D802" s="2"/>
    </row>
    <row r="803" ht="18" customHeight="1">
      <c r="D803" s="2"/>
    </row>
    <row r="804" ht="18" customHeight="1">
      <c r="D804" s="2"/>
    </row>
    <row r="805" ht="18" customHeight="1">
      <c r="D805" s="2"/>
    </row>
    <row r="806" ht="18" customHeight="1">
      <c r="D806" s="2"/>
    </row>
    <row r="807" ht="18" customHeight="1">
      <c r="D807" s="2"/>
    </row>
    <row r="808" ht="18" customHeight="1">
      <c r="D808" s="2"/>
    </row>
    <row r="809" ht="18" customHeight="1">
      <c r="D809" s="2"/>
    </row>
    <row r="810" ht="18" customHeight="1">
      <c r="D810" s="2"/>
    </row>
    <row r="811" ht="18" customHeight="1">
      <c r="D811" s="2"/>
    </row>
    <row r="812" ht="18" customHeight="1">
      <c r="D812" s="2"/>
    </row>
    <row r="813" ht="18" customHeight="1">
      <c r="D813" s="2"/>
    </row>
    <row r="814" ht="18" customHeight="1">
      <c r="D814" s="2"/>
    </row>
    <row r="815" ht="18" customHeight="1">
      <c r="D815" s="2"/>
    </row>
    <row r="816" ht="18" customHeight="1">
      <c r="D816" s="2"/>
    </row>
    <row r="817" ht="18" customHeight="1">
      <c r="D817" s="2"/>
    </row>
    <row r="818" ht="18" customHeight="1">
      <c r="D818" s="2"/>
    </row>
    <row r="819" ht="18" customHeight="1">
      <c r="D819" s="2"/>
    </row>
    <row r="820" ht="18" customHeight="1">
      <c r="D820" s="2"/>
    </row>
    <row r="821" ht="18" customHeight="1">
      <c r="D821" s="2"/>
    </row>
    <row r="822" ht="18" customHeight="1">
      <c r="D822" s="2"/>
    </row>
    <row r="823" ht="18" customHeight="1">
      <c r="D823" s="2"/>
    </row>
    <row r="824" ht="18" customHeight="1">
      <c r="D824" s="2"/>
    </row>
    <row r="825" ht="18" customHeight="1">
      <c r="D825" s="2"/>
    </row>
    <row r="826" ht="18" customHeight="1">
      <c r="D826" s="2"/>
    </row>
    <row r="827" ht="18" customHeight="1">
      <c r="D827" s="2"/>
    </row>
    <row r="828" ht="18" customHeight="1">
      <c r="D828" s="2"/>
    </row>
    <row r="829" ht="18" customHeight="1">
      <c r="D829" s="2"/>
    </row>
    <row r="830" ht="18" customHeight="1">
      <c r="D830" s="2"/>
    </row>
    <row r="831" ht="18" customHeight="1">
      <c r="D831" s="2"/>
    </row>
    <row r="832" ht="18" customHeight="1">
      <c r="D832" s="2"/>
    </row>
    <row r="833" ht="18" customHeight="1">
      <c r="D833" s="2"/>
    </row>
    <row r="834" ht="18" customHeight="1">
      <c r="D834" s="2"/>
    </row>
    <row r="835" ht="18" customHeight="1">
      <c r="D835" s="2"/>
    </row>
    <row r="836" ht="18" customHeight="1">
      <c r="D836" s="2"/>
    </row>
    <row r="837" ht="18" customHeight="1">
      <c r="D837" s="2"/>
    </row>
    <row r="838" ht="18" customHeight="1">
      <c r="D838" s="2"/>
    </row>
    <row r="839" ht="18" customHeight="1">
      <c r="D839" s="2"/>
    </row>
    <row r="840" ht="18" customHeight="1">
      <c r="D840" s="2"/>
    </row>
    <row r="841" ht="18" customHeight="1">
      <c r="D841" s="2"/>
    </row>
    <row r="842" ht="18" customHeight="1">
      <c r="D842" s="2"/>
    </row>
    <row r="843" ht="18" customHeight="1">
      <c r="D843" s="2"/>
    </row>
    <row r="844" ht="18" customHeight="1">
      <c r="D844" s="2"/>
    </row>
    <row r="845" ht="18" customHeight="1">
      <c r="D845" s="2"/>
    </row>
    <row r="846" ht="18" customHeight="1">
      <c r="D846" s="2"/>
    </row>
    <row r="847" ht="18" customHeight="1">
      <c r="D847" s="2"/>
    </row>
    <row r="848" ht="18" customHeight="1">
      <c r="D848" s="2"/>
    </row>
    <row r="849" ht="18" customHeight="1">
      <c r="D849" s="2"/>
    </row>
    <row r="850" ht="18" customHeight="1">
      <c r="D850" s="2"/>
    </row>
    <row r="851" ht="18" customHeight="1">
      <c r="D851" s="2"/>
    </row>
    <row r="852" ht="18" customHeight="1">
      <c r="D852" s="2"/>
    </row>
    <row r="853" ht="18" customHeight="1">
      <c r="D853" s="2"/>
    </row>
    <row r="854" ht="18" customHeight="1">
      <c r="D854" s="2"/>
    </row>
    <row r="855" ht="18" customHeight="1">
      <c r="D855" s="2"/>
    </row>
    <row r="856" ht="18" customHeight="1">
      <c r="D856" s="2"/>
    </row>
    <row r="857" ht="18" customHeight="1">
      <c r="D857" s="2"/>
    </row>
    <row r="858" ht="18" customHeight="1">
      <c r="D858" s="2"/>
    </row>
    <row r="859" ht="18" customHeight="1">
      <c r="D859" s="2"/>
    </row>
    <row r="860" ht="18" customHeight="1">
      <c r="D860" s="2"/>
    </row>
    <row r="861" ht="18" customHeight="1">
      <c r="D861" s="2"/>
    </row>
    <row r="862" ht="18" customHeight="1">
      <c r="D862" s="2"/>
    </row>
    <row r="863" ht="18" customHeight="1">
      <c r="D863" s="2"/>
    </row>
    <row r="864" ht="18" customHeight="1">
      <c r="D864" s="2"/>
    </row>
    <row r="865" ht="18" customHeight="1">
      <c r="D865" s="2"/>
    </row>
    <row r="866" ht="18" customHeight="1">
      <c r="D866" s="2"/>
    </row>
    <row r="867" ht="18" customHeight="1">
      <c r="D867" s="2"/>
    </row>
    <row r="868" ht="18" customHeight="1">
      <c r="D868" s="2"/>
    </row>
    <row r="869" ht="18" customHeight="1">
      <c r="D869" s="2"/>
    </row>
    <row r="870" ht="18" customHeight="1">
      <c r="D870" s="2"/>
    </row>
    <row r="871" ht="18" customHeight="1">
      <c r="D871" s="2"/>
    </row>
    <row r="872" ht="18" customHeight="1">
      <c r="D872" s="2"/>
    </row>
    <row r="873" ht="18" customHeight="1">
      <c r="D873" s="2"/>
    </row>
    <row r="874" ht="18" customHeight="1">
      <c r="D874" s="2"/>
    </row>
    <row r="875" ht="18" customHeight="1">
      <c r="D875" s="2"/>
    </row>
    <row r="876" ht="18" customHeight="1">
      <c r="D876" s="2"/>
    </row>
    <row r="877" ht="18" customHeight="1">
      <c r="D877" s="2"/>
    </row>
    <row r="878" ht="18" customHeight="1">
      <c r="D878" s="2"/>
    </row>
    <row r="879" ht="18" customHeight="1">
      <c r="D879" s="2"/>
    </row>
    <row r="880" ht="18" customHeight="1">
      <c r="D880" s="2"/>
    </row>
    <row r="881" ht="18" customHeight="1">
      <c r="D881" s="2"/>
    </row>
    <row r="882" ht="18" customHeight="1">
      <c r="D882" s="2"/>
    </row>
    <row r="883" ht="18" customHeight="1">
      <c r="D883" s="2"/>
    </row>
    <row r="884" ht="18" customHeight="1">
      <c r="D884" s="2"/>
    </row>
    <row r="885" ht="18" customHeight="1">
      <c r="D885" s="2"/>
    </row>
    <row r="886" ht="18" customHeight="1">
      <c r="D886" s="2"/>
    </row>
    <row r="887" ht="18" customHeight="1">
      <c r="D887" s="2"/>
    </row>
    <row r="888" ht="18" customHeight="1">
      <c r="D888" s="2"/>
    </row>
    <row r="889" ht="18" customHeight="1">
      <c r="D889" s="2"/>
    </row>
    <row r="890" ht="18" customHeight="1">
      <c r="D890" s="2"/>
    </row>
    <row r="891" ht="18" customHeight="1">
      <c r="D891" s="2"/>
    </row>
    <row r="892" ht="18" customHeight="1">
      <c r="D892" s="2"/>
    </row>
    <row r="893" ht="18" customHeight="1">
      <c r="D893" s="2"/>
    </row>
    <row r="894" ht="18" customHeight="1">
      <c r="D894" s="2"/>
    </row>
    <row r="895" ht="18" customHeight="1">
      <c r="D895" s="2"/>
    </row>
    <row r="896" ht="18" customHeight="1">
      <c r="D896" s="2"/>
    </row>
    <row r="897" ht="18" customHeight="1">
      <c r="D897" s="2"/>
    </row>
    <row r="898" ht="18" customHeight="1">
      <c r="D898" s="2"/>
    </row>
    <row r="899" ht="18" customHeight="1">
      <c r="D899" s="2"/>
    </row>
    <row r="900" ht="18" customHeight="1">
      <c r="D900" s="2"/>
    </row>
    <row r="901" ht="18" customHeight="1">
      <c r="D901" s="2"/>
    </row>
    <row r="902" ht="18" customHeight="1">
      <c r="D902" s="2"/>
    </row>
    <row r="903" ht="18" customHeight="1">
      <c r="D903" s="2"/>
    </row>
    <row r="904" ht="18" customHeight="1">
      <c r="D904" s="2"/>
    </row>
    <row r="905" ht="18" customHeight="1">
      <c r="D905" s="2"/>
    </row>
    <row r="906" ht="18" customHeight="1">
      <c r="D906" s="2"/>
    </row>
    <row r="907" ht="18" customHeight="1">
      <c r="D907" s="2"/>
    </row>
    <row r="908" ht="18" customHeight="1">
      <c r="D908" s="2"/>
    </row>
    <row r="909" ht="18" customHeight="1">
      <c r="D909" s="2"/>
    </row>
    <row r="910" ht="18" customHeight="1">
      <c r="D910" s="2"/>
    </row>
    <row r="911" ht="18" customHeight="1">
      <c r="D911" s="2"/>
    </row>
    <row r="912" ht="18" customHeight="1">
      <c r="D912" s="2"/>
    </row>
    <row r="913" ht="18" customHeight="1">
      <c r="D913" s="2"/>
    </row>
    <row r="914" ht="18" customHeight="1">
      <c r="D914" s="2"/>
    </row>
    <row r="915" ht="18" customHeight="1">
      <c r="D915" s="2"/>
    </row>
    <row r="916" ht="18" customHeight="1">
      <c r="D916" s="2"/>
    </row>
    <row r="917" ht="18" customHeight="1">
      <c r="D917" s="2"/>
    </row>
    <row r="918" ht="18" customHeight="1">
      <c r="D918" s="2"/>
    </row>
    <row r="919" ht="18" customHeight="1">
      <c r="D919" s="2"/>
    </row>
    <row r="920" ht="18" customHeight="1">
      <c r="D920" s="2"/>
    </row>
    <row r="921" ht="18" customHeight="1">
      <c r="D921" s="2"/>
    </row>
    <row r="922" ht="18" customHeight="1">
      <c r="D922" s="2"/>
    </row>
    <row r="923" ht="18" customHeight="1">
      <c r="D923" s="2"/>
    </row>
    <row r="924" ht="18" customHeight="1">
      <c r="D924" s="2"/>
    </row>
    <row r="925" ht="18" customHeight="1">
      <c r="D925" s="2"/>
    </row>
    <row r="926" ht="18" customHeight="1">
      <c r="D926" s="2"/>
    </row>
    <row r="927" ht="18" customHeight="1">
      <c r="D927" s="2"/>
    </row>
    <row r="928" ht="18" customHeight="1">
      <c r="D928" s="2"/>
    </row>
    <row r="929" ht="18" customHeight="1">
      <c r="D929" s="2"/>
    </row>
    <row r="930" ht="18" customHeight="1">
      <c r="D930" s="2"/>
    </row>
    <row r="931" ht="18" customHeight="1">
      <c r="D931" s="2"/>
    </row>
    <row r="932" ht="18" customHeight="1">
      <c r="D932" s="2"/>
    </row>
    <row r="933" ht="18" customHeight="1">
      <c r="D933" s="2"/>
    </row>
    <row r="934" ht="18" customHeight="1">
      <c r="D934" s="2"/>
    </row>
    <row r="935" ht="18" customHeight="1">
      <c r="D935" s="2"/>
    </row>
    <row r="936" ht="18" customHeight="1">
      <c r="D936" s="2"/>
    </row>
    <row r="937" ht="18" customHeight="1">
      <c r="D937" s="2"/>
    </row>
    <row r="938" ht="18" customHeight="1">
      <c r="D938" s="2"/>
    </row>
    <row r="939" ht="18" customHeight="1">
      <c r="D939" s="2"/>
    </row>
    <row r="940" ht="18" customHeight="1">
      <c r="D940" s="2"/>
    </row>
    <row r="941" ht="18" customHeight="1">
      <c r="D941" s="2"/>
    </row>
    <row r="942" ht="18" customHeight="1">
      <c r="D942" s="2"/>
    </row>
    <row r="943" ht="18" customHeight="1">
      <c r="D943" s="2"/>
    </row>
    <row r="944" ht="18" customHeight="1">
      <c r="D944" s="2"/>
    </row>
    <row r="945" ht="18" customHeight="1">
      <c r="D945" s="2"/>
    </row>
    <row r="946" ht="18" customHeight="1">
      <c r="D946" s="2"/>
    </row>
    <row r="947" ht="18" customHeight="1">
      <c r="D947" s="2"/>
    </row>
    <row r="948" ht="18" customHeight="1">
      <c r="D948" s="2"/>
    </row>
    <row r="949" ht="18" customHeight="1">
      <c r="D949" s="2"/>
    </row>
    <row r="950" ht="18" customHeight="1">
      <c r="D950" s="2"/>
    </row>
    <row r="951" ht="18" customHeight="1">
      <c r="D951" s="2"/>
    </row>
    <row r="952" ht="18" customHeight="1">
      <c r="D952" s="2"/>
    </row>
    <row r="953" ht="18" customHeight="1">
      <c r="D953" s="2"/>
    </row>
    <row r="954" ht="18" customHeight="1">
      <c r="D954" s="2"/>
    </row>
    <row r="955" ht="18" customHeight="1">
      <c r="D955" s="2"/>
    </row>
    <row r="956" ht="18" customHeight="1">
      <c r="D956" s="2"/>
    </row>
    <row r="957" ht="18" customHeight="1">
      <c r="D957" s="2"/>
    </row>
    <row r="958" ht="18" customHeight="1">
      <c r="D958" s="2"/>
    </row>
    <row r="959" ht="18" customHeight="1">
      <c r="D959" s="2"/>
    </row>
    <row r="960" ht="18" customHeight="1">
      <c r="D960" s="2"/>
    </row>
    <row r="961" ht="18" customHeight="1">
      <c r="D961" s="2"/>
    </row>
    <row r="962" ht="18" customHeight="1">
      <c r="D962" s="2"/>
    </row>
    <row r="963" ht="18" customHeight="1">
      <c r="D963" s="2"/>
    </row>
    <row r="964" ht="18" customHeight="1">
      <c r="D964" s="2"/>
    </row>
    <row r="965" ht="18" customHeight="1">
      <c r="D965" s="2"/>
    </row>
    <row r="966" ht="18" customHeight="1">
      <c r="D966" s="2"/>
    </row>
    <row r="967" ht="18" customHeight="1">
      <c r="D967" s="2"/>
    </row>
    <row r="968" ht="18" customHeight="1">
      <c r="D968" s="2"/>
    </row>
    <row r="969" ht="18" customHeight="1">
      <c r="D969" s="2"/>
    </row>
    <row r="970" ht="18" customHeight="1">
      <c r="D970" s="2"/>
    </row>
    <row r="971" ht="18" customHeight="1">
      <c r="D971" s="2"/>
    </row>
    <row r="972" ht="18" customHeight="1">
      <c r="D972" s="2"/>
    </row>
    <row r="973" ht="18" customHeight="1">
      <c r="D973" s="2"/>
    </row>
    <row r="974" ht="18" customHeight="1">
      <c r="D974" s="2"/>
    </row>
    <row r="975" ht="18" customHeight="1">
      <c r="D975" s="2"/>
    </row>
    <row r="976" ht="18" customHeight="1">
      <c r="D976" s="2"/>
    </row>
    <row r="977" ht="18" customHeight="1">
      <c r="D977" s="2"/>
    </row>
    <row r="978" ht="18" customHeight="1">
      <c r="D978" s="2"/>
    </row>
    <row r="979" ht="18" customHeight="1">
      <c r="D979" s="2"/>
    </row>
    <row r="980" ht="18" customHeight="1">
      <c r="D980" s="2"/>
    </row>
    <row r="981" ht="18" customHeight="1">
      <c r="D981" s="2"/>
    </row>
    <row r="982" ht="18" customHeight="1">
      <c r="D982" s="2"/>
    </row>
    <row r="983" ht="18" customHeight="1">
      <c r="D983" s="2"/>
    </row>
    <row r="984" ht="18" customHeight="1">
      <c r="D984" s="2"/>
    </row>
    <row r="985" ht="18" customHeight="1">
      <c r="D985" s="2"/>
    </row>
    <row r="986" ht="18" customHeight="1">
      <c r="D986" s="2"/>
    </row>
    <row r="987" ht="18" customHeight="1">
      <c r="D987" s="2"/>
    </row>
    <row r="988" ht="18" customHeight="1">
      <c r="D988" s="2"/>
    </row>
    <row r="989" ht="18" customHeight="1">
      <c r="D989" s="2"/>
    </row>
    <row r="990" ht="18" customHeight="1">
      <c r="D990" s="2"/>
    </row>
    <row r="991" ht="18" customHeight="1">
      <c r="D991" s="2"/>
    </row>
    <row r="992" ht="18" customHeight="1">
      <c r="D992" s="2"/>
    </row>
    <row r="993" ht="18" customHeight="1">
      <c r="D993" s="2"/>
    </row>
    <row r="994" ht="18" customHeight="1">
      <c r="D994" s="2"/>
    </row>
    <row r="995" ht="18" customHeight="1">
      <c r="D995" s="2"/>
    </row>
    <row r="996" ht="18" customHeight="1">
      <c r="D996" s="2"/>
    </row>
    <row r="997" ht="18" customHeight="1">
      <c r="D997" s="2"/>
    </row>
    <row r="998" ht="18" customHeight="1">
      <c r="D998" s="2"/>
    </row>
    <row r="999" ht="18" customHeight="1">
      <c r="D999" s="2"/>
    </row>
    <row r="1000" ht="18" customHeight="1">
      <c r="D1000" s="2"/>
    </row>
    <row r="1001" ht="18" customHeight="1">
      <c r="D1001" s="2"/>
    </row>
    <row r="1002" ht="18" customHeight="1">
      <c r="D1002" s="2"/>
    </row>
    <row r="1003" ht="18" customHeight="1">
      <c r="D1003" s="2"/>
    </row>
    <row r="1004" ht="18" customHeight="1">
      <c r="D1004" s="2"/>
    </row>
    <row r="1005" ht="18" customHeight="1">
      <c r="D1005" s="2"/>
    </row>
    <row r="1006" ht="18" customHeight="1">
      <c r="D1006" s="2"/>
    </row>
    <row r="1007" ht="18" customHeight="1">
      <c r="D1007" s="2"/>
    </row>
    <row r="1008" ht="18" customHeight="1">
      <c r="D1008" s="2"/>
    </row>
    <row r="1009" ht="18" customHeight="1">
      <c r="D1009" s="2"/>
    </row>
    <row r="1010" ht="18" customHeight="1">
      <c r="D1010" s="2"/>
    </row>
    <row r="1011" ht="18" customHeight="1">
      <c r="D1011" s="2"/>
    </row>
    <row r="1012" ht="18" customHeight="1">
      <c r="D1012" s="2"/>
    </row>
    <row r="1013" ht="18" customHeight="1">
      <c r="D1013" s="2"/>
    </row>
    <row r="1014" ht="18" customHeight="1">
      <c r="D1014" s="2"/>
    </row>
    <row r="1015" ht="18" customHeight="1">
      <c r="D1015" s="2"/>
    </row>
    <row r="1016" ht="18" customHeight="1">
      <c r="D1016" s="2"/>
    </row>
    <row r="1017" ht="18" customHeight="1">
      <c r="D1017" s="2"/>
    </row>
    <row r="1018" ht="18" customHeight="1">
      <c r="D1018" s="2"/>
    </row>
    <row r="1019" ht="18" customHeight="1">
      <c r="D1019" s="2"/>
    </row>
    <row r="1020" ht="18" customHeight="1">
      <c r="D1020" s="2"/>
    </row>
    <row r="1021" ht="18" customHeight="1">
      <c r="D1021" s="2"/>
    </row>
    <row r="1022" ht="18" customHeight="1">
      <c r="D1022" s="2"/>
    </row>
    <row r="1023" ht="18" customHeight="1">
      <c r="D1023" s="2"/>
    </row>
    <row r="1024" ht="18" customHeight="1">
      <c r="D1024" s="2"/>
    </row>
    <row r="1025" ht="18" customHeight="1">
      <c r="D1025" s="2"/>
    </row>
    <row r="1026" ht="18" customHeight="1">
      <c r="D1026" s="2"/>
    </row>
    <row r="1027" ht="18" customHeight="1">
      <c r="D1027" s="2"/>
    </row>
    <row r="1028" ht="18" customHeight="1">
      <c r="D1028" s="2"/>
    </row>
    <row r="1029" ht="18" customHeight="1">
      <c r="D1029" s="2"/>
    </row>
    <row r="1030" ht="18" customHeight="1">
      <c r="D1030" s="2"/>
    </row>
    <row r="1031" ht="18" customHeight="1">
      <c r="D1031" s="2"/>
    </row>
    <row r="1032" ht="18" customHeight="1">
      <c r="D1032" s="2"/>
    </row>
    <row r="1033" ht="18" customHeight="1">
      <c r="D1033" s="2"/>
    </row>
    <row r="1034" ht="18" customHeight="1">
      <c r="D1034" s="2"/>
    </row>
    <row r="1035" ht="18" customHeight="1">
      <c r="D1035" s="2"/>
    </row>
    <row r="1036" ht="18" customHeight="1">
      <c r="D1036" s="2"/>
    </row>
    <row r="1037" ht="18" customHeight="1">
      <c r="D1037" s="2"/>
    </row>
    <row r="1038" ht="18" customHeight="1">
      <c r="D1038" s="2"/>
    </row>
    <row r="1039" ht="18" customHeight="1">
      <c r="D1039" s="2"/>
    </row>
    <row r="1040" ht="18" customHeight="1">
      <c r="D1040" s="2"/>
    </row>
    <row r="1041" ht="18" customHeight="1">
      <c r="D1041" s="2"/>
    </row>
    <row r="1042" ht="18" customHeight="1">
      <c r="D1042" s="2"/>
    </row>
    <row r="1043" ht="18" customHeight="1">
      <c r="D1043" s="2"/>
    </row>
    <row r="1044" ht="18" customHeight="1">
      <c r="D1044" s="2"/>
    </row>
    <row r="1045" ht="18" customHeight="1">
      <c r="D1045" s="2"/>
    </row>
    <row r="1046" ht="18" customHeight="1">
      <c r="D1046" s="2"/>
    </row>
    <row r="1047" ht="18" customHeight="1">
      <c r="D1047" s="2"/>
    </row>
    <row r="1048" ht="18" customHeight="1">
      <c r="D1048" s="2"/>
    </row>
    <row r="1049" ht="18" customHeight="1">
      <c r="D1049" s="2"/>
    </row>
    <row r="1050" ht="18" customHeight="1">
      <c r="D1050" s="2"/>
    </row>
    <row r="1051" ht="18" customHeight="1">
      <c r="D1051" s="2"/>
    </row>
    <row r="1052" ht="18" customHeight="1">
      <c r="D1052" s="2"/>
    </row>
    <row r="1053" ht="18" customHeight="1">
      <c r="D1053" s="2"/>
    </row>
    <row r="1054" ht="18" customHeight="1">
      <c r="D1054" s="2"/>
    </row>
    <row r="1055" ht="18" customHeight="1">
      <c r="D1055" s="2"/>
    </row>
    <row r="1056" ht="18" customHeight="1">
      <c r="D1056" s="2"/>
    </row>
    <row r="1057" ht="18" customHeight="1">
      <c r="D1057" s="2"/>
    </row>
    <row r="1058" ht="18" customHeight="1">
      <c r="D1058" s="2"/>
    </row>
    <row r="1059" ht="18" customHeight="1">
      <c r="D1059" s="2"/>
    </row>
    <row r="1060" ht="18" customHeight="1">
      <c r="D1060" s="2"/>
    </row>
    <row r="1061" ht="18" customHeight="1">
      <c r="D1061" s="2"/>
    </row>
    <row r="1062" ht="18" customHeight="1">
      <c r="D1062" s="2"/>
    </row>
    <row r="1063" ht="18" customHeight="1">
      <c r="D1063" s="2"/>
    </row>
    <row r="1064" ht="18" customHeight="1">
      <c r="D1064" s="2"/>
    </row>
    <row r="1065" ht="18" customHeight="1">
      <c r="D1065" s="2"/>
    </row>
    <row r="1066" ht="18" customHeight="1">
      <c r="D1066" s="2"/>
    </row>
    <row r="1067" ht="18" customHeight="1">
      <c r="D1067" s="2"/>
    </row>
    <row r="1068" ht="18" customHeight="1">
      <c r="D1068" s="2"/>
    </row>
    <row r="1069" ht="18" customHeight="1">
      <c r="D1069" s="2"/>
    </row>
    <row r="1070" ht="18" customHeight="1">
      <c r="D1070" s="2"/>
    </row>
    <row r="1071" ht="18" customHeight="1">
      <c r="D1071" s="2"/>
    </row>
    <row r="1072" ht="18" customHeight="1">
      <c r="D1072" s="2"/>
    </row>
    <row r="1073" ht="18" customHeight="1">
      <c r="D1073" s="2"/>
    </row>
    <row r="1074" ht="18" customHeight="1">
      <c r="D1074" s="2"/>
    </row>
    <row r="1075" ht="18" customHeight="1">
      <c r="D1075" s="2"/>
    </row>
    <row r="1076" ht="18" customHeight="1">
      <c r="D1076" s="2"/>
    </row>
    <row r="1077" ht="18" customHeight="1">
      <c r="D1077" s="2"/>
    </row>
    <row r="1078" ht="18" customHeight="1">
      <c r="D1078" s="2"/>
    </row>
    <row r="1079" ht="18" customHeight="1">
      <c r="D1079" s="2"/>
    </row>
    <row r="1080" ht="18" customHeight="1">
      <c r="D1080" s="2"/>
    </row>
    <row r="1081" ht="18" customHeight="1">
      <c r="D1081" s="2"/>
    </row>
    <row r="1082" ht="18" customHeight="1">
      <c r="D1082" s="2"/>
    </row>
    <row r="1083" ht="18" customHeight="1">
      <c r="D1083" s="2"/>
    </row>
    <row r="1084" ht="18" customHeight="1">
      <c r="D1084" s="2"/>
    </row>
    <row r="1085" ht="18" customHeight="1">
      <c r="D1085" s="2"/>
    </row>
    <row r="1086" ht="18" customHeight="1">
      <c r="D1086" s="2"/>
    </row>
    <row r="1087" ht="18" customHeight="1">
      <c r="D1087" s="2"/>
    </row>
    <row r="1088" ht="18" customHeight="1">
      <c r="D1088" s="2"/>
    </row>
    <row r="1089" ht="18" customHeight="1">
      <c r="D1089" s="2"/>
    </row>
    <row r="1090" ht="18" customHeight="1">
      <c r="D1090" s="2"/>
    </row>
    <row r="1091" ht="18" customHeight="1">
      <c r="D1091" s="2"/>
    </row>
    <row r="1092" ht="18" customHeight="1">
      <c r="D1092" s="2"/>
    </row>
    <row r="1093" ht="18" customHeight="1">
      <c r="D1093" s="2"/>
    </row>
    <row r="1094" ht="18" customHeight="1">
      <c r="D1094" s="2"/>
    </row>
    <row r="1095" ht="18" customHeight="1">
      <c r="D1095" s="2"/>
    </row>
    <row r="1096" ht="18" customHeight="1">
      <c r="D1096" s="2"/>
    </row>
    <row r="1097" ht="18" customHeight="1">
      <c r="D1097" s="2"/>
    </row>
    <row r="1098" ht="18" customHeight="1">
      <c r="D1098" s="2"/>
    </row>
    <row r="1099" ht="18" customHeight="1">
      <c r="D1099" s="2"/>
    </row>
    <row r="1100" ht="18" customHeight="1">
      <c r="D1100" s="2"/>
    </row>
    <row r="1101" ht="18" customHeight="1">
      <c r="D1101" s="2"/>
    </row>
    <row r="1102" ht="18" customHeight="1">
      <c r="D1102" s="2"/>
    </row>
    <row r="1103" ht="18" customHeight="1">
      <c r="D1103" s="2"/>
    </row>
    <row r="1104" ht="18" customHeight="1">
      <c r="D1104" s="2"/>
    </row>
    <row r="1105" ht="18" customHeight="1">
      <c r="D1105" s="2"/>
    </row>
    <row r="1106" ht="18" customHeight="1">
      <c r="D1106" s="2"/>
    </row>
    <row r="1107" ht="18" customHeight="1">
      <c r="D1107" s="2"/>
    </row>
    <row r="1108" ht="18" customHeight="1">
      <c r="D1108" s="2"/>
    </row>
    <row r="1109" ht="18" customHeight="1">
      <c r="D1109" s="2"/>
    </row>
    <row r="1110" ht="18" customHeight="1">
      <c r="D1110" s="2"/>
    </row>
    <row r="1111" ht="18" customHeight="1">
      <c r="D1111" s="2"/>
    </row>
    <row r="1112" ht="18" customHeight="1">
      <c r="D1112" s="2"/>
    </row>
    <row r="1113" ht="18" customHeight="1">
      <c r="D1113" s="2"/>
    </row>
    <row r="1114" ht="18" customHeight="1">
      <c r="D1114" s="2"/>
    </row>
    <row r="1115" ht="18" customHeight="1">
      <c r="D1115" s="2"/>
    </row>
    <row r="1116" ht="18" customHeight="1">
      <c r="D1116" s="2"/>
    </row>
    <row r="1117" ht="18" customHeight="1">
      <c r="D1117" s="2"/>
    </row>
    <row r="1118" ht="18" customHeight="1">
      <c r="D1118" s="2"/>
    </row>
    <row r="1119" ht="18" customHeight="1">
      <c r="D1119" s="2"/>
    </row>
    <row r="1120" ht="18" customHeight="1">
      <c r="D1120" s="2"/>
    </row>
    <row r="1121" ht="18" customHeight="1">
      <c r="D1121" s="2"/>
    </row>
    <row r="1122" ht="18" customHeight="1">
      <c r="D1122" s="2"/>
    </row>
    <row r="1123" ht="18" customHeight="1">
      <c r="D1123" s="2"/>
    </row>
    <row r="1124" ht="18" customHeight="1">
      <c r="D1124" s="2"/>
    </row>
    <row r="1125" ht="18" customHeight="1">
      <c r="D1125" s="2"/>
    </row>
    <row r="1126" ht="18" customHeight="1">
      <c r="D1126" s="2"/>
    </row>
    <row r="1127" ht="18" customHeight="1">
      <c r="D1127" s="2"/>
    </row>
    <row r="1128" ht="18" customHeight="1">
      <c r="D1128" s="2"/>
    </row>
    <row r="1129" ht="18" customHeight="1">
      <c r="D1129" s="2"/>
    </row>
    <row r="1130" ht="18" customHeight="1">
      <c r="D1130" s="2"/>
    </row>
    <row r="1131" ht="18" customHeight="1">
      <c r="D1131" s="2"/>
    </row>
    <row r="1132" ht="18" customHeight="1">
      <c r="D1132" s="2"/>
    </row>
    <row r="1133" ht="18" customHeight="1">
      <c r="D1133" s="2"/>
    </row>
    <row r="1134" ht="18" customHeight="1">
      <c r="D1134" s="2"/>
    </row>
    <row r="1135" ht="18" customHeight="1">
      <c r="D1135" s="2"/>
    </row>
    <row r="1136" ht="18" customHeight="1">
      <c r="D1136" s="2"/>
    </row>
    <row r="1137" ht="18" customHeight="1">
      <c r="D1137" s="2"/>
    </row>
    <row r="1138" ht="18" customHeight="1">
      <c r="D1138" s="2"/>
    </row>
    <row r="1139" ht="18" customHeight="1">
      <c r="D1139" s="2"/>
    </row>
    <row r="1140" ht="18" customHeight="1">
      <c r="D1140" s="2"/>
    </row>
    <row r="1141" ht="18" customHeight="1">
      <c r="D1141" s="2"/>
    </row>
    <row r="1142" ht="18" customHeight="1">
      <c r="D1142" s="2"/>
    </row>
    <row r="1143" ht="18" customHeight="1">
      <c r="D1143" s="2"/>
    </row>
    <row r="1144" ht="18" customHeight="1">
      <c r="D1144" s="2"/>
    </row>
    <row r="1145" ht="18" customHeight="1">
      <c r="D1145" s="2"/>
    </row>
    <row r="1146" ht="18" customHeight="1">
      <c r="D1146" s="2"/>
    </row>
    <row r="1147" ht="18" customHeight="1">
      <c r="D1147" s="2"/>
    </row>
    <row r="1148" ht="18" customHeight="1">
      <c r="D1148" s="2"/>
    </row>
    <row r="1149" ht="18" customHeight="1">
      <c r="D1149" s="2"/>
    </row>
    <row r="1150" ht="18" customHeight="1">
      <c r="D1150" s="2"/>
    </row>
    <row r="1151" ht="18" customHeight="1">
      <c r="D1151" s="2"/>
    </row>
    <row r="1152" ht="18" customHeight="1">
      <c r="D1152" s="2"/>
    </row>
    <row r="1153" ht="18" customHeight="1">
      <c r="D1153" s="2"/>
    </row>
    <row r="1154" ht="18" customHeight="1">
      <c r="D1154" s="2"/>
    </row>
    <row r="1155" ht="18" customHeight="1">
      <c r="D1155" s="2"/>
    </row>
    <row r="1156" ht="18" customHeight="1">
      <c r="D1156" s="2"/>
    </row>
    <row r="1157" ht="18" customHeight="1">
      <c r="D1157" s="2"/>
    </row>
    <row r="1158" ht="18" customHeight="1">
      <c r="D1158" s="2"/>
    </row>
    <row r="1159" ht="18" customHeight="1">
      <c r="D1159" s="2"/>
    </row>
    <row r="1160" ht="18" customHeight="1">
      <c r="D1160" s="2"/>
    </row>
    <row r="1161" ht="18" customHeight="1">
      <c r="D1161" s="2"/>
    </row>
    <row r="1162" ht="18" customHeight="1">
      <c r="D1162" s="2"/>
    </row>
    <row r="1163" ht="18" customHeight="1">
      <c r="D1163" s="2"/>
    </row>
    <row r="1164" ht="18" customHeight="1">
      <c r="D1164" s="2"/>
    </row>
    <row r="1165" ht="18" customHeight="1">
      <c r="D1165" s="2"/>
    </row>
    <row r="1166" ht="18" customHeight="1">
      <c r="D1166" s="2"/>
    </row>
    <row r="1167" ht="18" customHeight="1">
      <c r="D1167" s="2"/>
    </row>
    <row r="1168" ht="18" customHeight="1">
      <c r="D1168" s="2"/>
    </row>
    <row r="1169" ht="18" customHeight="1">
      <c r="D1169" s="2"/>
    </row>
    <row r="1170" ht="18" customHeight="1">
      <c r="D1170" s="2"/>
    </row>
    <row r="1171" ht="18" customHeight="1">
      <c r="D1171" s="2"/>
    </row>
    <row r="1172" ht="18" customHeight="1">
      <c r="D1172" s="2"/>
    </row>
    <row r="1173" ht="18" customHeight="1">
      <c r="D1173" s="2"/>
    </row>
    <row r="1174" ht="18" customHeight="1">
      <c r="D1174" s="2"/>
    </row>
    <row r="1175" ht="18" customHeight="1">
      <c r="D1175" s="2"/>
    </row>
  </sheetData>
  <printOptions/>
  <pageMargins left="0.75" right="0.75" top="1" bottom="1" header="0.512" footer="0.512"/>
  <pageSetup horizontalDpi="96" verticalDpi="96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workbookViewId="0" topLeftCell="A1">
      <selection activeCell="L4" sqref="L4"/>
    </sheetView>
  </sheetViews>
  <sheetFormatPr defaultColWidth="8.796875" defaultRowHeight="14.25"/>
  <sheetData>
    <row r="1" spans="8:12" ht="13.5">
      <c r="H1" t="s">
        <v>115</v>
      </c>
      <c r="I1" t="s">
        <v>120</v>
      </c>
      <c r="J1" t="s">
        <v>121</v>
      </c>
      <c r="K1" t="s">
        <v>122</v>
      </c>
      <c r="L1" t="s">
        <v>123</v>
      </c>
    </row>
    <row r="2" spans="1:12" ht="13.5">
      <c r="A2" t="s">
        <v>99</v>
      </c>
      <c r="B2" s="9" t="s">
        <v>100</v>
      </c>
      <c r="C2" s="10" t="s">
        <v>101</v>
      </c>
      <c r="D2" s="10" t="s">
        <v>102</v>
      </c>
      <c r="H2">
        <v>1</v>
      </c>
      <c r="I2" t="s">
        <v>124</v>
      </c>
      <c r="J2" s="20">
        <v>0.16</v>
      </c>
      <c r="K2" s="20">
        <v>0.2</v>
      </c>
      <c r="L2" s="20">
        <v>0.24</v>
      </c>
    </row>
    <row r="3" spans="1:12" ht="15">
      <c r="A3">
        <v>1</v>
      </c>
      <c r="B3" s="11" t="s">
        <v>103</v>
      </c>
      <c r="C3" s="12">
        <v>30</v>
      </c>
      <c r="D3" s="12">
        <v>0.6</v>
      </c>
      <c r="H3">
        <v>2</v>
      </c>
      <c r="I3" t="s">
        <v>125</v>
      </c>
      <c r="J3" s="20">
        <v>0.12</v>
      </c>
      <c r="K3" s="20">
        <v>0.15</v>
      </c>
      <c r="L3" s="20">
        <v>0.18</v>
      </c>
    </row>
    <row r="4" spans="1:12" ht="15">
      <c r="A4">
        <v>2</v>
      </c>
      <c r="B4" s="11" t="s">
        <v>104</v>
      </c>
      <c r="C4" s="12">
        <v>30</v>
      </c>
      <c r="D4" s="12">
        <v>0.6</v>
      </c>
      <c r="H4">
        <v>3</v>
      </c>
      <c r="I4" t="s">
        <v>126</v>
      </c>
      <c r="J4" s="20">
        <v>0</v>
      </c>
      <c r="K4" s="20">
        <v>0</v>
      </c>
      <c r="L4" s="20">
        <v>0</v>
      </c>
    </row>
    <row r="5" spans="1:9" ht="15">
      <c r="A5">
        <v>3</v>
      </c>
      <c r="B5" s="11" t="s">
        <v>105</v>
      </c>
      <c r="C5" s="12">
        <v>50</v>
      </c>
      <c r="D5" s="12">
        <v>0.6</v>
      </c>
      <c r="I5" s="19">
        <v>3</v>
      </c>
    </row>
    <row r="6" spans="1:9" ht="15">
      <c r="A6">
        <v>4</v>
      </c>
      <c r="B6" s="11" t="s">
        <v>106</v>
      </c>
      <c r="C6" s="12">
        <v>50</v>
      </c>
      <c r="D6" s="12">
        <v>0.675</v>
      </c>
      <c r="H6" t="s">
        <v>127</v>
      </c>
      <c r="I6" s="16" t="str">
        <f>VLOOKUP(I5,H2:L4,2,FALSE)</f>
        <v>考慮しない</v>
      </c>
    </row>
    <row r="7" spans="1:9" ht="15">
      <c r="A7">
        <v>5</v>
      </c>
      <c r="B7" s="11" t="s">
        <v>107</v>
      </c>
      <c r="C7" s="12">
        <v>55</v>
      </c>
      <c r="D7" s="12">
        <v>0.76</v>
      </c>
      <c r="H7" t="s">
        <v>128</v>
      </c>
      <c r="I7" s="16">
        <f>VLOOKUP(I5,H2:L4,I14+2,FALSE)</f>
        <v>0</v>
      </c>
    </row>
    <row r="8" spans="1:4" ht="15">
      <c r="A8">
        <v>6</v>
      </c>
      <c r="B8" s="11" t="s">
        <v>108</v>
      </c>
      <c r="C8" s="12">
        <v>55</v>
      </c>
      <c r="D8" s="12">
        <v>0.76</v>
      </c>
    </row>
    <row r="9" spans="1:4" ht="15">
      <c r="A9">
        <v>7</v>
      </c>
      <c r="B9" s="11" t="s">
        <v>109</v>
      </c>
      <c r="C9" s="12">
        <v>55</v>
      </c>
      <c r="D9" s="12">
        <v>0.76</v>
      </c>
    </row>
    <row r="10" spans="1:13" ht="15">
      <c r="A10">
        <v>8</v>
      </c>
      <c r="B10" s="13" t="s">
        <v>110</v>
      </c>
      <c r="C10" s="12">
        <v>0</v>
      </c>
      <c r="D10" s="12">
        <v>0</v>
      </c>
      <c r="H10" t="s">
        <v>115</v>
      </c>
      <c r="I10" t="s">
        <v>129</v>
      </c>
      <c r="K10" t="s">
        <v>130</v>
      </c>
      <c r="L10" t="s">
        <v>131</v>
      </c>
      <c r="M10" t="s">
        <v>132</v>
      </c>
    </row>
    <row r="11" spans="2:13" ht="15">
      <c r="B11" s="14">
        <v>8</v>
      </c>
      <c r="C11" s="12"/>
      <c r="D11" s="12"/>
      <c r="H11">
        <v>1</v>
      </c>
      <c r="I11" t="s">
        <v>133</v>
      </c>
      <c r="K11">
        <v>1</v>
      </c>
      <c r="L11" t="s">
        <v>134</v>
      </c>
      <c r="M11" s="20">
        <v>1</v>
      </c>
    </row>
    <row r="12" spans="2:13" ht="15">
      <c r="B12" s="15" t="s">
        <v>96</v>
      </c>
      <c r="C12" s="16" t="str">
        <f>VLOOKUP($B$11,$A$3:$D$10,2,FALSE)</f>
        <v>なし</v>
      </c>
      <c r="H12">
        <v>2</v>
      </c>
      <c r="I12" t="s">
        <v>135</v>
      </c>
      <c r="K12">
        <v>2</v>
      </c>
      <c r="L12" t="s">
        <v>136</v>
      </c>
      <c r="M12" s="20">
        <v>0.85</v>
      </c>
    </row>
    <row r="13" spans="2:13" ht="15">
      <c r="B13" s="15" t="s">
        <v>111</v>
      </c>
      <c r="C13" s="16">
        <f>VLOOKUP($B$11,$A$3:$D$10,3,FALSE)</f>
        <v>0</v>
      </c>
      <c r="D13" s="17" t="s">
        <v>112</v>
      </c>
      <c r="H13">
        <v>3</v>
      </c>
      <c r="I13" t="s">
        <v>137</v>
      </c>
      <c r="K13">
        <v>3</v>
      </c>
      <c r="L13" t="s">
        <v>138</v>
      </c>
      <c r="M13" s="20">
        <v>0.7</v>
      </c>
    </row>
    <row r="14" spans="2:12" ht="15">
      <c r="B14" s="15" t="s">
        <v>113</v>
      </c>
      <c r="C14" s="16">
        <f>VLOOKUP($B$11,$A$3:$D$10,4,FALSE)</f>
        <v>0</v>
      </c>
      <c r="D14" s="17" t="s">
        <v>114</v>
      </c>
      <c r="I14" s="19">
        <v>2</v>
      </c>
      <c r="L14" s="19">
        <v>2</v>
      </c>
    </row>
    <row r="15" spans="9:12" ht="15">
      <c r="I15" t="str">
        <f>IF(I14=1,I11,IF(I14=2,I12,I13))</f>
        <v>Ⅱ種</v>
      </c>
      <c r="K15" t="s">
        <v>139</v>
      </c>
      <c r="L15" s="16" t="str">
        <f>VLOOKUP(L14,K11:M13,2,FALSE)</f>
        <v>B地域</v>
      </c>
    </row>
    <row r="16" spans="11:12" ht="15">
      <c r="K16" t="s">
        <v>140</v>
      </c>
      <c r="L16" s="21">
        <f>VLOOKUP(L14,K11:M13,3,FALSE)</f>
        <v>0.85</v>
      </c>
    </row>
    <row r="17" spans="1:6" ht="13.5">
      <c r="A17" t="s">
        <v>115</v>
      </c>
      <c r="B17" s="18"/>
      <c r="E17" t="s">
        <v>115</v>
      </c>
      <c r="F17" s="18"/>
    </row>
    <row r="18" spans="1:6" ht="13.5">
      <c r="A18">
        <v>1</v>
      </c>
      <c r="B18" s="18" t="s">
        <v>116</v>
      </c>
      <c r="E18">
        <v>1</v>
      </c>
      <c r="F18" s="18" t="s">
        <v>118</v>
      </c>
    </row>
    <row r="19" spans="1:6" ht="13.5">
      <c r="A19">
        <v>2</v>
      </c>
      <c r="B19" s="18" t="s">
        <v>117</v>
      </c>
      <c r="E19">
        <v>2</v>
      </c>
      <c r="F19" s="18" t="s">
        <v>119</v>
      </c>
    </row>
    <row r="20" spans="1:6" ht="13.5">
      <c r="A20" s="18"/>
      <c r="B20" s="19">
        <v>2</v>
      </c>
      <c r="E20" s="18"/>
      <c r="F20" s="19">
        <v>2</v>
      </c>
    </row>
    <row r="21" spans="1:6" ht="15">
      <c r="A21" s="18"/>
      <c r="B21" s="16" t="str">
        <f>VLOOKUP(B20,A18:B19,2,FALSE)</f>
        <v>仮想背面後方載荷</v>
      </c>
      <c r="E21" s="18"/>
      <c r="F21" s="16" t="str">
        <f>VLOOKUP(F20,E18:F19,2,FALSE)</f>
        <v>改良試行楔法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H57"/>
  <sheetViews>
    <sheetView workbookViewId="0" topLeftCell="A1">
      <selection activeCell="D59" sqref="D59"/>
    </sheetView>
  </sheetViews>
  <sheetFormatPr defaultColWidth="8.796875" defaultRowHeight="14.25"/>
  <sheetData>
    <row r="2" spans="2:8" ht="13.5">
      <c r="B2" t="s">
        <v>171</v>
      </c>
      <c r="C2" t="s">
        <v>172</v>
      </c>
      <c r="D2" t="s">
        <v>173</v>
      </c>
      <c r="E2" t="s">
        <v>176</v>
      </c>
      <c r="F2" t="s">
        <v>175</v>
      </c>
      <c r="G2" t="s">
        <v>174</v>
      </c>
      <c r="H2" t="s">
        <v>171</v>
      </c>
    </row>
    <row r="3" spans="2:8" ht="13.5">
      <c r="B3">
        <f>(G3/COS(θ)*SIN(D3-φ+θ)-cu*F3*COS(φ))/COS(D3-φ-α-δu)</f>
        <v>0</v>
      </c>
      <c r="C3">
        <f>φd</f>
        <v>35</v>
      </c>
      <c r="D3">
        <f>C3*PI()/180</f>
        <v>0.6108652381980153</v>
      </c>
      <c r="E3">
        <f>IF(β=0,Hw*(TAN(α)+1/TAN(D3))-zc/TAN(D3),MAX(0,(Ht-zc)/TAN(D3)+Hw*TAN(α)-Ho/TAN(β)))</f>
        <v>6.426666030339516</v>
      </c>
      <c r="F3">
        <f>IF(β=0,(Hw-zc)/SIN(D3),IF(E3&gt;0,(Ht-zc)/SIN(D3),1/SIN(D3-β)*(COS(α-β)/COS(α)*Hw-COS(β)*zc)))</f>
        <v>7.845510580294942</v>
      </c>
      <c r="G3">
        <f>IF(β=0,γ/2/SIN(D3)*(Hw^2*COS(D3-α)/COS(α)-zc^2*COS(D3))+q*E3,IF(E3&gt;0,γ/2/COS(α)*(COS(D3-α)/SIN(D3)*Ht^2-COS(α-β)/SIN(β)*Ho^2-COS(α)/TAN(D3)*zc^2)+E3*q,γ/2/SIN(D3-β)*(COS(D3-α)*COS(α-β)/(COS(α))^2*Hw^2-COS(D3)*COS(β)*zc^2)))</f>
        <v>353.46663166867336</v>
      </c>
      <c r="H3">
        <f>B3</f>
        <v>0</v>
      </c>
    </row>
    <row r="4" spans="2:8" ht="13.5">
      <c r="B4">
        <f>(G4/COS(θ)*SIN(D4-φ+θ)-cu*F4*COS(φ))/COS(D4-φ-α-δu)</f>
        <v>6.427365617938196</v>
      </c>
      <c r="C4">
        <f>C3+1</f>
        <v>36</v>
      </c>
      <c r="D4">
        <f>C4*PI()/180</f>
        <v>0.6283185307179586</v>
      </c>
      <c r="E4">
        <f>IF(β=0,Hw*(TAN(α)+1/TAN(D4))-zc/TAN(D4),MAX(0,(Ht-zc)/TAN(D4)+Hw*TAN(α)-Ho/TAN(β)))</f>
        <v>6.193718642120281</v>
      </c>
      <c r="F4">
        <f>IF(β=0,(Hw-zc)/SIN(D4),IF(E4&gt;0,(Ht-zc)/SIN(D4),1/SIN(D4-β)*(COS(α-β)/COS(α)*Hw-COS(β)*zc)))</f>
        <v>7.655857275168359</v>
      </c>
      <c r="G4">
        <f>IF(β=0,γ/2/SIN(D4)*(Hw^2*COS(D4-α)/COS(α)-zc^2*COS(D4))+q*E4,IF(E4&gt;0,γ/2/COS(α)*(COS(D4-α)/SIN(D4)*Ht^2-COS(α-β)/SIN(β)*Ho^2-COS(α)/TAN(D4)*zc^2)+E4*q,γ/2/SIN(D4-β)*(COS(D4-α)*COS(α-β)/(COS(α))^2*Hw^2-COS(D4)*COS(β)*zc^2)))</f>
        <v>340.65452531661543</v>
      </c>
      <c r="H4">
        <f aca="true" t="shared" si="0" ref="H4:H57">B4</f>
        <v>6.427365617938196</v>
      </c>
    </row>
    <row r="5" spans="2:8" ht="13.5">
      <c r="B5">
        <f aca="true" t="shared" si="1" ref="B5:B39">(G5/COS(θ)*SIN(D5-φ+θ)-cu*F5*COS(φ))/COS(D5-φ-α-δu)</f>
        <v>12.305706312331798</v>
      </c>
      <c r="C5">
        <f aca="true" t="shared" si="2" ref="C5:C39">C4+1</f>
        <v>37</v>
      </c>
      <c r="D5">
        <f aca="true" t="shared" si="3" ref="D5:D55">C5*PI()/180</f>
        <v>0.6457718232379019</v>
      </c>
      <c r="E5">
        <f aca="true" t="shared" si="4" ref="E5:E55">IF(β=0,Hw*(TAN(α)+1/TAN(D5))-zc/TAN(D5),MAX(0,(Ht-zc)/TAN(D5)+Hw*TAN(α)-Ho/TAN(β)))</f>
        <v>5.971701697291845</v>
      </c>
      <c r="F5">
        <f aca="true" t="shared" si="5" ref="F5:F39">IF(β=0,(Hw-zc)/SIN(D5),IF(E5&gt;0,(Ht-zc)/SIN(D5),1/SIN(D5-β)*(COS(α-β)/COS(α)*Hw-COS(β)*zc)))</f>
        <v>7.4773806350511745</v>
      </c>
      <c r="G5">
        <f aca="true" t="shared" si="6" ref="G5:G39">IF(β=0,γ/2/SIN(D5)*(Hw^2*COS(D5-α)/COS(α)-zc^2*COS(D5))+q*E5,IF(E5&gt;0,γ/2/COS(α)*(COS(D5-α)/SIN(D5)*Ht^2-COS(α-β)/SIN(β)*Ho^2-COS(α)/TAN(D5)*zc^2)+E5*q,γ/2/SIN(D5-β)*(COS(D5-α)*COS(α-β)/(COS(α))^2*Hw^2-COS(D5)*COS(β)*zc^2)))</f>
        <v>328.44359335105145</v>
      </c>
      <c r="H5">
        <f t="shared" si="0"/>
        <v>12.305706312331798</v>
      </c>
    </row>
    <row r="6" spans="2:8" ht="13.5">
      <c r="B6">
        <f t="shared" si="1"/>
        <v>17.681034296238014</v>
      </c>
      <c r="C6">
        <f t="shared" si="2"/>
        <v>38</v>
      </c>
      <c r="D6">
        <f t="shared" si="3"/>
        <v>0.6632251157578452</v>
      </c>
      <c r="E6">
        <f t="shared" si="4"/>
        <v>5.759737344868856</v>
      </c>
      <c r="F6">
        <f t="shared" si="5"/>
        <v>7.309211604672349</v>
      </c>
      <c r="G6">
        <f t="shared" si="6"/>
        <v>316.7855539677871</v>
      </c>
      <c r="H6">
        <f t="shared" si="0"/>
        <v>17.681034296238014</v>
      </c>
    </row>
    <row r="7" spans="2:8" ht="13.5">
      <c r="B7">
        <f t="shared" si="1"/>
        <v>22.594288253002468</v>
      </c>
      <c r="C7">
        <f t="shared" si="2"/>
        <v>39</v>
      </c>
      <c r="D7">
        <f t="shared" si="3"/>
        <v>0.6806784082777885</v>
      </c>
      <c r="E7">
        <f t="shared" si="4"/>
        <v>5.557037204407732</v>
      </c>
      <c r="F7">
        <f t="shared" si="5"/>
        <v>7.150570780795873</v>
      </c>
      <c r="G7">
        <f t="shared" si="6"/>
        <v>305.6370462424253</v>
      </c>
      <c r="H7">
        <f t="shared" si="0"/>
        <v>22.594288253002468</v>
      </c>
    </row>
    <row r="8" spans="2:8" ht="13.5">
      <c r="B8">
        <f t="shared" si="1"/>
        <v>27.081981760830843</v>
      </c>
      <c r="C8">
        <f t="shared" si="2"/>
        <v>40</v>
      </c>
      <c r="D8">
        <f t="shared" si="3"/>
        <v>0.6981317007977318</v>
      </c>
      <c r="E8">
        <f t="shared" si="4"/>
        <v>5.362891166673945</v>
      </c>
      <c r="F8">
        <f t="shared" si="5"/>
        <v>7.000757220871856</v>
      </c>
      <c r="G8">
        <f t="shared" si="6"/>
        <v>294.959014167067</v>
      </c>
      <c r="H8">
        <f t="shared" si="0"/>
        <v>27.081981760830843</v>
      </c>
    </row>
    <row r="9" spans="2:8" ht="13.5">
      <c r="B9">
        <f t="shared" si="1"/>
        <v>31.17675511366558</v>
      </c>
      <c r="C9">
        <f t="shared" si="2"/>
        <v>41</v>
      </c>
      <c r="D9">
        <f t="shared" si="3"/>
        <v>0.715584993317675</v>
      </c>
      <c r="E9">
        <f t="shared" si="4"/>
        <v>5.176657832494544</v>
      </c>
      <c r="F9">
        <f t="shared" si="5"/>
        <v>6.859138890176165</v>
      </c>
      <c r="G9">
        <f t="shared" si="6"/>
        <v>284.71618078719996</v>
      </c>
      <c r="H9">
        <f t="shared" si="0"/>
        <v>31.17675511366558</v>
      </c>
    </row>
    <row r="10" spans="2:8" ht="13.5">
      <c r="B10">
        <f t="shared" si="1"/>
        <v>34.90784676036669</v>
      </c>
      <c r="C10">
        <f t="shared" si="2"/>
        <v>42</v>
      </c>
      <c r="D10">
        <f t="shared" si="3"/>
        <v>0.7330382858376184</v>
      </c>
      <c r="E10">
        <f t="shared" si="4"/>
        <v>4.997756316731368</v>
      </c>
      <c r="F10">
        <f t="shared" si="5"/>
        <v>6.7251444743907385</v>
      </c>
      <c r="G10">
        <f t="shared" si="6"/>
        <v>274.87659742022527</v>
      </c>
      <c r="H10">
        <f t="shared" si="0"/>
        <v>34.90784676036669</v>
      </c>
    </row>
    <row r="11" spans="2:8" ht="13.5">
      <c r="B11">
        <f t="shared" si="1"/>
        <v>38.30149755060162</v>
      </c>
      <c r="C11">
        <f t="shared" si="2"/>
        <v>43</v>
      </c>
      <c r="D11">
        <f t="shared" si="3"/>
        <v>0.7504915783575616</v>
      </c>
      <c r="E11">
        <f t="shared" si="4"/>
        <v>4.825659195111073</v>
      </c>
      <c r="F11">
        <f t="shared" si="5"/>
        <v>6.598256335378313</v>
      </c>
      <c r="G11">
        <f t="shared" si="6"/>
        <v>265.411255731109</v>
      </c>
      <c r="H11">
        <f t="shared" si="0"/>
        <v>38.30149755060162</v>
      </c>
    </row>
    <row r="12" spans="2:8" ht="13.5">
      <c r="B12">
        <f t="shared" si="1"/>
        <v>41.38129856432807</v>
      </c>
      <c r="C12">
        <f t="shared" si="2"/>
        <v>44</v>
      </c>
      <c r="D12">
        <f t="shared" si="3"/>
        <v>0.767944870877505</v>
      </c>
      <c r="E12">
        <f t="shared" si="4"/>
        <v>4.659886412057563</v>
      </c>
      <c r="F12">
        <f t="shared" si="5"/>
        <v>6.478004428315769</v>
      </c>
      <c r="G12">
        <f t="shared" si="6"/>
        <v>256.293752663166</v>
      </c>
      <c r="H12">
        <f t="shared" si="0"/>
        <v>41.38129856432807</v>
      </c>
    </row>
    <row r="13" spans="2:8" ht="13.5">
      <c r="B13">
        <f t="shared" si="1"/>
        <v>44.168491373841086</v>
      </c>
      <c r="C13">
        <f t="shared" si="2"/>
        <v>45</v>
      </c>
      <c r="D13">
        <f t="shared" si="3"/>
        <v>0.7853981633974483</v>
      </c>
      <c r="E13">
        <f t="shared" si="4"/>
        <v>4.5</v>
      </c>
      <c r="F13">
        <f t="shared" si="5"/>
        <v>6.3639610306789285</v>
      </c>
      <c r="G13">
        <f t="shared" si="6"/>
        <v>247.5</v>
      </c>
      <c r="H13">
        <f t="shared" si="0"/>
        <v>44.168491373841086</v>
      </c>
    </row>
    <row r="14" spans="2:8" ht="13.5">
      <c r="B14">
        <f t="shared" si="1"/>
        <v>46.68222803773614</v>
      </c>
      <c r="C14">
        <f t="shared" si="2"/>
        <v>46</v>
      </c>
      <c r="D14">
        <f t="shared" si="3"/>
        <v>0.8028514559173915</v>
      </c>
      <c r="E14">
        <f t="shared" si="4"/>
        <v>4.3455994866318335</v>
      </c>
      <c r="F14">
        <f t="shared" si="5"/>
        <v>6.255736159575055</v>
      </c>
      <c r="G14">
        <f t="shared" si="6"/>
        <v>239.0079717647509</v>
      </c>
      <c r="H14">
        <f t="shared" si="0"/>
        <v>46.68222803773614</v>
      </c>
    </row>
    <row r="15" spans="2:8" ht="13.5">
      <c r="B15">
        <f t="shared" si="1"/>
        <v>48.9397968741567</v>
      </c>
      <c r="C15">
        <f t="shared" si="2"/>
        <v>47</v>
      </c>
      <c r="D15">
        <f t="shared" si="3"/>
        <v>0.8203047484373349</v>
      </c>
      <c r="E15">
        <f t="shared" si="4"/>
        <v>4.196317887619477</v>
      </c>
      <c r="F15">
        <f t="shared" si="5"/>
        <v>6.152973574943679</v>
      </c>
      <c r="G15">
        <f t="shared" si="6"/>
        <v>230.79748381907126</v>
      </c>
      <c r="H15">
        <f t="shared" si="0"/>
        <v>48.9397968741567</v>
      </c>
    </row>
    <row r="16" spans="2:8" ht="13.5">
      <c r="B16">
        <f t="shared" si="1"/>
        <v>50.95681904420564</v>
      </c>
      <c r="C16">
        <f t="shared" si="2"/>
        <v>48</v>
      </c>
      <c r="D16">
        <f t="shared" si="3"/>
        <v>0.8377580409572781</v>
      </c>
      <c r="E16">
        <f t="shared" si="4"/>
        <v>4.05181819934028</v>
      </c>
      <c r="F16">
        <f t="shared" si="5"/>
        <v>6.055347283228693</v>
      </c>
      <c r="G16">
        <f t="shared" si="6"/>
        <v>222.85000096371542</v>
      </c>
      <c r="H16">
        <f t="shared" si="0"/>
        <v>50.95681904420564</v>
      </c>
    </row>
    <row r="17" spans="2:8" ht="13.5">
      <c r="B17">
        <f t="shared" si="1"/>
        <v>52.74742014722112</v>
      </c>
      <c r="C17">
        <f t="shared" si="2"/>
        <v>49</v>
      </c>
      <c r="D17">
        <f t="shared" si="3"/>
        <v>0.8552113334772214</v>
      </c>
      <c r="E17">
        <f t="shared" si="4"/>
        <v>3.9117903201730204</v>
      </c>
      <c r="F17">
        <f t="shared" si="5"/>
        <v>5.962558470069651</v>
      </c>
      <c r="G17">
        <f t="shared" si="6"/>
        <v>215.14846760951608</v>
      </c>
      <c r="H17">
        <f t="shared" si="0"/>
        <v>52.74742014722112</v>
      </c>
    </row>
    <row r="18" spans="2:8" ht="13.5">
      <c r="B18">
        <f t="shared" si="1"/>
        <v>54.32438035018075</v>
      </c>
      <c r="C18">
        <f t="shared" si="2"/>
        <v>50</v>
      </c>
      <c r="D18">
        <f t="shared" si="3"/>
        <v>0.8726646259971648</v>
      </c>
      <c r="E18">
        <f t="shared" si="4"/>
        <v>3.7759483402977603</v>
      </c>
      <c r="F18">
        <f t="shared" si="5"/>
        <v>5.874332801995254</v>
      </c>
      <c r="G18">
        <f t="shared" si="6"/>
        <v>207.67715871637682</v>
      </c>
      <c r="H18">
        <f t="shared" si="0"/>
        <v>54.32438035018075</v>
      </c>
    </row>
    <row r="19" spans="2:8" ht="13.5">
      <c r="B19">
        <f t="shared" si="1"/>
        <v>55.6992660143496</v>
      </c>
      <c r="C19">
        <f t="shared" si="2"/>
        <v>51</v>
      </c>
      <c r="D19">
        <f t="shared" si="3"/>
        <v>0.890117918517108</v>
      </c>
      <c r="E19">
        <f t="shared" si="4"/>
        <v>3.644028149377533</v>
      </c>
      <c r="F19">
        <f t="shared" si="5"/>
        <v>5.790418046519254</v>
      </c>
      <c r="G19">
        <f t="shared" si="6"/>
        <v>200.4215482157643</v>
      </c>
      <c r="H19">
        <f t="shared" si="0"/>
        <v>55.6992660143496</v>
      </c>
    </row>
    <row r="20" spans="2:8" ht="13.5">
      <c r="B20">
        <f t="shared" si="1"/>
        <v>56.882545320209985</v>
      </c>
      <c r="C20">
        <f t="shared" si="2"/>
        <v>52</v>
      </c>
      <c r="D20">
        <f t="shared" si="3"/>
        <v>0.9075712110370514</v>
      </c>
      <c r="E20">
        <f t="shared" si="4"/>
        <v>3.515785319280228</v>
      </c>
      <c r="F20">
        <f t="shared" si="5"/>
        <v>5.710581967826604</v>
      </c>
      <c r="G20">
        <f t="shared" si="6"/>
        <v>193.36819256041252</v>
      </c>
      <c r="H20">
        <f t="shared" si="0"/>
        <v>56.882545320209985</v>
      </c>
    </row>
    <row r="21" spans="2:8" ht="13.5">
      <c r="B21">
        <f t="shared" si="1"/>
        <v>57.883690008311724</v>
      </c>
      <c r="C21">
        <f t="shared" si="2"/>
        <v>53</v>
      </c>
      <c r="D21">
        <f t="shared" si="3"/>
        <v>0.9250245035569946</v>
      </c>
      <c r="E21">
        <f t="shared" si="4"/>
        <v>3.3909932254625743</v>
      </c>
      <c r="F21">
        <f t="shared" si="5"/>
        <v>5.634610461703016</v>
      </c>
      <c r="G21">
        <f t="shared" si="6"/>
        <v>186.5046274004416</v>
      </c>
      <c r="H21">
        <f t="shared" si="0"/>
        <v>57.883690008311724</v>
      </c>
    </row>
    <row r="22" spans="2:8" ht="13.5">
      <c r="B22">
        <f t="shared" si="1"/>
        <v>58.711265034324576</v>
      </c>
      <c r="C22">
        <f t="shared" si="2"/>
        <v>54</v>
      </c>
      <c r="D22">
        <f t="shared" si="3"/>
        <v>0.9424777960769379</v>
      </c>
      <c r="E22">
        <f t="shared" si="4"/>
        <v>3.2694413760241243</v>
      </c>
      <c r="F22">
        <f t="shared" si="5"/>
        <v>5.562305898749053</v>
      </c>
      <c r="G22">
        <f t="shared" si="6"/>
        <v>179.81927568132681</v>
      </c>
      <c r="H22">
        <f t="shared" si="0"/>
        <v>58.711265034324576</v>
      </c>
    </row>
    <row r="23" spans="2:8" ht="13.5">
      <c r="B23">
        <f t="shared" si="1"/>
        <v>59.37300766954482</v>
      </c>
      <c r="C23">
        <f t="shared" si="2"/>
        <v>55</v>
      </c>
      <c r="D23">
        <f t="shared" si="3"/>
        <v>0.9599310885968813</v>
      </c>
      <c r="E23">
        <f t="shared" si="4"/>
        <v>3.150933921943694</v>
      </c>
      <c r="F23">
        <f t="shared" si="5"/>
        <v>5.493485649426552</v>
      </c>
      <c r="G23">
        <f t="shared" si="6"/>
        <v>173.3013657069032</v>
      </c>
      <c r="H23">
        <f t="shared" si="0"/>
        <v>59.37300766954482</v>
      </c>
    </row>
    <row r="24" spans="2:8" ht="13.5">
      <c r="B24">
        <f t="shared" si="1"/>
        <v>59.875897354004984</v>
      </c>
      <c r="C24">
        <f t="shared" si="2"/>
        <v>56</v>
      </c>
      <c r="D24">
        <f t="shared" si="3"/>
        <v>0.9773843811168246</v>
      </c>
      <c r="E24">
        <f t="shared" si="4"/>
        <v>3.03528832579092</v>
      </c>
      <c r="F24">
        <f t="shared" si="5"/>
        <v>5.427980768267574</v>
      </c>
      <c r="G24">
        <f t="shared" si="6"/>
        <v>166.94085791850057</v>
      </c>
      <c r="H24">
        <f t="shared" si="0"/>
        <v>59.875897354004984</v>
      </c>
    </row>
    <row r="25" spans="2:8" ht="13.5">
      <c r="B25">
        <f t="shared" si="1"/>
        <v>60.22621742056539</v>
      </c>
      <c r="C25">
        <f t="shared" si="2"/>
        <v>57</v>
      </c>
      <c r="D25">
        <f t="shared" si="3"/>
        <v>0.9948376736367678</v>
      </c>
      <c r="E25">
        <f t="shared" si="4"/>
        <v>2.922334169388798</v>
      </c>
      <c r="F25">
        <f t="shared" si="5"/>
        <v>5.365634817761764</v>
      </c>
      <c r="G25">
        <f t="shared" si="6"/>
        <v>160.72837931638392</v>
      </c>
      <c r="H25">
        <f t="shared" si="0"/>
        <v>60.22621742056539</v>
      </c>
    </row>
    <row r="26" spans="2:8" ht="13.5">
      <c r="B26">
        <f t="shared" si="1"/>
        <v>60.42960964877898</v>
      </c>
      <c r="C26">
        <f t="shared" si="2"/>
        <v>58</v>
      </c>
      <c r="D26">
        <f t="shared" si="3"/>
        <v>1.0122909661567112</v>
      </c>
      <c r="E26">
        <f t="shared" si="4"/>
        <v>2.811912083591973</v>
      </c>
      <c r="F26">
        <f t="shared" si="5"/>
        <v>5.306302815129434</v>
      </c>
      <c r="G26">
        <f t="shared" si="6"/>
        <v>154.65516459755852</v>
      </c>
      <c r="H26">
        <f t="shared" si="0"/>
        <v>60.42960964877898</v>
      </c>
    </row>
    <row r="27" spans="2:8" ht="13.5">
      <c r="B27">
        <f t="shared" si="1"/>
        <v>60.49112247191481</v>
      </c>
      <c r="C27">
        <f t="shared" si="2"/>
        <v>59</v>
      </c>
      <c r="D27">
        <f t="shared" si="3"/>
        <v>1.0297442586766543</v>
      </c>
      <c r="E27">
        <f t="shared" si="4"/>
        <v>2.703872785624023</v>
      </c>
      <c r="F27">
        <f t="shared" si="5"/>
        <v>5.249850287468988</v>
      </c>
      <c r="G27">
        <f t="shared" si="6"/>
        <v>148.71300320932124</v>
      </c>
      <c r="H27">
        <f t="shared" si="0"/>
        <v>60.49112247191481</v>
      </c>
    </row>
    <row r="28" spans="2:8" ht="13.5">
      <c r="B28">
        <f t="shared" si="1"/>
        <v>60.41525354520616</v>
      </c>
      <c r="C28">
        <f t="shared" si="2"/>
        <v>60</v>
      </c>
      <c r="D28">
        <f t="shared" si="3"/>
        <v>1.0471975511965976</v>
      </c>
      <c r="E28">
        <f t="shared" si="4"/>
        <v>2.598076211353317</v>
      </c>
      <c r="F28">
        <f t="shared" si="5"/>
        <v>5.196152422706632</v>
      </c>
      <c r="G28">
        <f t="shared" si="6"/>
        <v>142.8941916244324</v>
      </c>
      <c r="H28">
        <f t="shared" si="0"/>
        <v>60.41525354520616</v>
      </c>
    </row>
    <row r="29" spans="2:8" ht="13.5">
      <c r="B29">
        <f t="shared" si="1"/>
        <v>60.20598728481039</v>
      </c>
      <c r="C29">
        <f t="shared" si="2"/>
        <v>61</v>
      </c>
      <c r="D29">
        <f t="shared" si="3"/>
        <v>1.064650843716541</v>
      </c>
      <c r="E29">
        <f t="shared" si="4"/>
        <v>2.4943907315374605</v>
      </c>
      <c r="F29">
        <f t="shared" si="5"/>
        <v>5.14509330542994</v>
      </c>
      <c r="G29">
        <f t="shared" si="6"/>
        <v>137.19149023456035</v>
      </c>
      <c r="H29">
        <f t="shared" si="0"/>
        <v>60.20598728481039</v>
      </c>
    </row>
    <row r="30" spans="2:8" ht="13.5">
      <c r="B30">
        <f t="shared" si="1"/>
        <v>59.86682790235803</v>
      </c>
      <c r="C30">
        <f t="shared" si="2"/>
        <v>62</v>
      </c>
      <c r="D30">
        <f t="shared" si="3"/>
        <v>1.0821041362364843</v>
      </c>
      <c r="E30">
        <f t="shared" si="4"/>
        <v>2.3926924424766547</v>
      </c>
      <c r="F30">
        <f t="shared" si="5"/>
        <v>5.096565228100677</v>
      </c>
      <c r="G30">
        <f t="shared" si="6"/>
        <v>131.598084336216</v>
      </c>
      <c r="H30">
        <f t="shared" si="0"/>
        <v>59.86682790235803</v>
      </c>
    </row>
    <row r="31" spans="2:8" ht="13.5">
      <c r="B31">
        <f t="shared" si="1"/>
        <v>59.40082838705209</v>
      </c>
      <c r="C31">
        <f t="shared" si="2"/>
        <v>63</v>
      </c>
      <c r="D31">
        <f t="shared" si="3"/>
        <v>1.0995574287564276</v>
      </c>
      <c r="E31">
        <f t="shared" si="4"/>
        <v>2.2928645227249302</v>
      </c>
      <c r="F31">
        <f t="shared" si="5"/>
        <v>5.050468069354624</v>
      </c>
      <c r="G31">
        <f t="shared" si="6"/>
        <v>126.10754874987116</v>
      </c>
      <c r="H31">
        <f t="shared" si="0"/>
        <v>59.40082838705209</v>
      </c>
    </row>
    <row r="32" spans="2:8" ht="13.5">
      <c r="B32">
        <f t="shared" si="1"/>
        <v>58.81061582414977</v>
      </c>
      <c r="C32">
        <f t="shared" si="2"/>
        <v>64</v>
      </c>
      <c r="D32">
        <f t="shared" si="3"/>
        <v>1.117010721276371</v>
      </c>
      <c r="E32">
        <f t="shared" si="4"/>
        <v>2.194796648546377</v>
      </c>
      <c r="F32">
        <f t="shared" si="5"/>
        <v>5.00670873213835</v>
      </c>
      <c r="G32">
        <f t="shared" si="6"/>
        <v>120.7138156700507</v>
      </c>
      <c r="H32">
        <f t="shared" si="0"/>
        <v>58.81061582414977</v>
      </c>
    </row>
    <row r="33" spans="2:8" ht="13.5">
      <c r="B33">
        <f t="shared" si="1"/>
        <v>58.09841338374266</v>
      </c>
      <c r="C33">
        <f t="shared" si="2"/>
        <v>65</v>
      </c>
      <c r="D33">
        <f t="shared" si="3"/>
        <v>1.1344640137963142</v>
      </c>
      <c r="E33">
        <f t="shared" si="4"/>
        <v>2.098384461697494</v>
      </c>
      <c r="F33">
        <f t="shared" si="5"/>
        <v>4.965200635331213</v>
      </c>
      <c r="G33">
        <f t="shared" si="6"/>
        <v>115.41114539336216</v>
      </c>
      <c r="H33">
        <f t="shared" si="0"/>
        <v>58.09841338374266</v>
      </c>
    </row>
    <row r="34" spans="2:8" ht="13.5">
      <c r="B34">
        <f t="shared" si="1"/>
        <v>57.266059265712165</v>
      </c>
      <c r="C34">
        <f t="shared" si="2"/>
        <v>66</v>
      </c>
      <c r="D34">
        <f t="shared" si="3"/>
        <v>1.1519173063162575</v>
      </c>
      <c r="E34">
        <f t="shared" si="4"/>
        <v>2.0035290838884126</v>
      </c>
      <c r="F34">
        <f t="shared" si="5"/>
        <v>4.92586325327721</v>
      </c>
      <c r="G34">
        <f t="shared" si="6"/>
        <v>110.19409961386269</v>
      </c>
      <c r="H34">
        <f t="shared" si="0"/>
        <v>57.266059265712165</v>
      </c>
    </row>
    <row r="35" spans="2:8" ht="13.5">
      <c r="B35">
        <f t="shared" si="1"/>
        <v>56.315022844466064</v>
      </c>
      <c r="C35">
        <f t="shared" si="2"/>
        <v>67</v>
      </c>
      <c r="D35">
        <f t="shared" si="3"/>
        <v>1.1693705988362006</v>
      </c>
      <c r="E35">
        <f t="shared" si="4"/>
        <v>1.910136672943222</v>
      </c>
      <c r="F35">
        <f t="shared" si="5"/>
        <v>4.888621698323833</v>
      </c>
      <c r="G35">
        <f t="shared" si="6"/>
        <v>105.05751701187722</v>
      </c>
      <c r="H35">
        <f t="shared" si="0"/>
        <v>56.315022844466064</v>
      </c>
    </row>
    <row r="36" spans="2:8" ht="13.5">
      <c r="B36">
        <f t="shared" si="1"/>
        <v>55.24641821960256</v>
      </c>
      <c r="C36">
        <f t="shared" si="2"/>
        <v>68</v>
      </c>
      <c r="D36">
        <f t="shared" si="3"/>
        <v>1.1868238913561442</v>
      </c>
      <c r="E36">
        <f t="shared" si="4"/>
        <v>1.8181180162582053</v>
      </c>
      <c r="F36">
        <f t="shared" si="5"/>
        <v>4.853406342049126</v>
      </c>
      <c r="G36">
        <f t="shared" si="6"/>
        <v>99.99649089420129</v>
      </c>
      <c r="H36">
        <f t="shared" si="0"/>
        <v>55.24641821960256</v>
      </c>
    </row>
    <row r="37" spans="2:8" ht="13.5">
      <c r="B37">
        <f t="shared" si="1"/>
        <v>54.06101534519875</v>
      </c>
      <c r="C37">
        <f t="shared" si="2"/>
        <v>69</v>
      </c>
      <c r="D37">
        <f t="shared" si="3"/>
        <v>1.2042771838760873</v>
      </c>
      <c r="E37">
        <f t="shared" si="4"/>
        <v>1.7273881576593717</v>
      </c>
      <c r="F37">
        <f t="shared" si="5"/>
        <v>4.82015247136663</v>
      </c>
      <c r="G37">
        <f t="shared" si="6"/>
        <v>95.00634867126544</v>
      </c>
      <c r="H37">
        <f t="shared" si="0"/>
        <v>54.06101534519875</v>
      </c>
    </row>
    <row r="38" spans="2:8" ht="13.5">
      <c r="B38">
        <f t="shared" si="1"/>
        <v>52.75924888027838</v>
      </c>
      <c r="C38">
        <f t="shared" si="2"/>
        <v>70</v>
      </c>
      <c r="D38">
        <f t="shared" si="3"/>
        <v>1.2217304763960306</v>
      </c>
      <c r="E38">
        <f t="shared" si="4"/>
        <v>1.637866054197911</v>
      </c>
      <c r="F38">
        <f t="shared" si="5"/>
        <v>4.788799976141605</v>
      </c>
      <c r="G38">
        <f t="shared" si="6"/>
        <v>90.08263298088512</v>
      </c>
      <c r="H38">
        <f t="shared" si="0"/>
        <v>52.75924888027838</v>
      </c>
    </row>
    <row r="39" spans="2:8" ht="13.5">
      <c r="B39">
        <f t="shared" si="1"/>
        <v>51.341224875582114</v>
      </c>
      <c r="C39">
        <f t="shared" si="2"/>
        <v>71</v>
      </c>
      <c r="D39">
        <f t="shared" si="3"/>
        <v>1.239183768915974</v>
      </c>
      <c r="E39">
        <f t="shared" si="4"/>
        <v>1.5494742598034938</v>
      </c>
      <c r="F39">
        <f t="shared" si="5"/>
        <v>4.759293065340018</v>
      </c>
      <c r="G39">
        <f t="shared" si="6"/>
        <v>85.22108428919219</v>
      </c>
      <c r="H39">
        <f t="shared" si="0"/>
        <v>51.341224875582114</v>
      </c>
    </row>
    <row r="40" spans="2:8" ht="13.5">
      <c r="B40">
        <f>(G40/COS(θ)*SIN(D40-φ+θ)-cu*F40*COS(φ))/COS(D40-φ-α-δu)</f>
        <v>49.80672538650391</v>
      </c>
      <c r="C40">
        <f>C39+1</f>
        <v>72</v>
      </c>
      <c r="D40">
        <f>C40*PI()/180</f>
        <v>1.2566370614359172</v>
      </c>
      <c r="E40">
        <f>IF(β=0,Hw*(TAN(α)+1/TAN(D40))-zc/TAN(D40),MAX(0,(Ht-zc)/TAN(D40)+Hw*TAN(α)-Ho/TAN(β)))</f>
        <v>1.4621386330480788</v>
      </c>
      <c r="F40">
        <f>IF(β=0,(Hw-zc)/SIN(D40),IF(E40&gt;0,(Ht-zc)/SIN(D40),1/SIN(D40-β)*(COS(α-β)/COS(α)*Hw-COS(β)*zc)))</f>
        <v>4.731580009072203</v>
      </c>
      <c r="G40">
        <f>IF(β=0,γ/2/SIN(D40)*(Hw^2*COS(D40-α)/COS(α)-zc^2*COS(D40))+q*E40,IF(E40&gt;0,γ/2/COS(α)*(COS(D40-α)/SIN(D40)*Ht^2-COS(α-β)/SIN(β)*Ho^2-COS(α)/TAN(D40)*zc^2)+E40*q,γ/2/SIN(D40-β)*(COS(D40-α)*COS(α-β)/(COS(α))^2*Hw^2-COS(D40)*COS(β)*zc^2)))</f>
        <v>80.41762481764432</v>
      </c>
      <c r="H40">
        <f t="shared" si="0"/>
        <v>49.80672538650391</v>
      </c>
    </row>
    <row r="41" spans="2:8" ht="13.5">
      <c r="B41">
        <f aca="true" t="shared" si="7" ref="B41:B50">(G41/COS(θ)*SIN(D41-φ+θ)-cu*F41*COS(φ))/COS(D41-φ-α-δu)</f>
        <v>48.15521107850405</v>
      </c>
      <c r="C41">
        <f aca="true" t="shared" si="8" ref="C41:C50">C40+1</f>
        <v>73</v>
      </c>
      <c r="D41">
        <f t="shared" si="3"/>
        <v>1.2740903539558606</v>
      </c>
      <c r="E41">
        <f t="shared" si="4"/>
        <v>1.3757880665639717</v>
      </c>
      <c r="F41">
        <f aca="true" t="shared" si="9" ref="F41:F50">IF(β=0,(Hw-zc)/SIN(D41),IF(E41&gt;0,(Ht-zc)/SIN(D41),1/SIN(D41-β)*(COS(α-β)/COS(α)*Hw-COS(β)*zc)))</f>
        <v>4.705612904192166</v>
      </c>
      <c r="G41">
        <f aca="true" t="shared" si="10" ref="G41:G50">IF(β=0,γ/2/SIN(D41)*(Hw^2*COS(D41-α)/COS(α)-zc^2*COS(D41))+q*E41,IF(E41&gt;0,γ/2/COS(α)*(COS(D41-α)/SIN(D41)*Ht^2-COS(α-β)/SIN(β)*Ho^2-COS(α)/TAN(D41)*zc^2)+E41*q,γ/2/SIN(D41-β)*(COS(D41-α)*COS(α-β)/(COS(α))^2*Hw^2-COS(D41)*COS(β)*zc^2)))</f>
        <v>75.66834366101844</v>
      </c>
      <c r="H41">
        <f t="shared" si="0"/>
        <v>48.15521107850405</v>
      </c>
    </row>
    <row r="42" spans="2:8" ht="13.5">
      <c r="B42">
        <f t="shared" si="7"/>
        <v>46.385821869031616</v>
      </c>
      <c r="C42">
        <f t="shared" si="8"/>
        <v>74</v>
      </c>
      <c r="D42">
        <f t="shared" si="3"/>
        <v>1.2915436464758039</v>
      </c>
      <c r="E42">
        <f t="shared" si="4"/>
        <v>1.2903542359146356</v>
      </c>
      <c r="F42">
        <f t="shared" si="9"/>
        <v>4.681347461377209</v>
      </c>
      <c r="G42">
        <f t="shared" si="10"/>
        <v>70.96948297530496</v>
      </c>
      <c r="H42">
        <f t="shared" si="0"/>
        <v>46.385821869031616</v>
      </c>
    </row>
    <row r="43" spans="2:8" ht="13.5">
      <c r="B43">
        <f t="shared" si="7"/>
        <v>44.497375628597645</v>
      </c>
      <c r="C43">
        <f t="shared" si="8"/>
        <v>75</v>
      </c>
      <c r="D43">
        <f t="shared" si="3"/>
        <v>1.3089969389957472</v>
      </c>
      <c r="E43">
        <f t="shared" si="4"/>
        <v>1.2057713659400522</v>
      </c>
      <c r="F43">
        <f t="shared" si="9"/>
        <v>4.658742811845373</v>
      </c>
      <c r="G43">
        <f t="shared" si="10"/>
        <v>66.31742512670286</v>
      </c>
      <c r="H43">
        <f t="shared" si="0"/>
        <v>44.497375628597645</v>
      </c>
    </row>
    <row r="44" spans="2:8" ht="13.5">
      <c r="B44">
        <f t="shared" si="7"/>
        <v>42.48836494276257</v>
      </c>
      <c r="C44">
        <f t="shared" si="8"/>
        <v>76</v>
      </c>
      <c r="D44">
        <f t="shared" si="3"/>
        <v>1.3264502315156903</v>
      </c>
      <c r="E44">
        <f t="shared" si="4"/>
        <v>1.121976012794314</v>
      </c>
      <c r="F44">
        <f t="shared" si="9"/>
        <v>4.637761332074541</v>
      </c>
      <c r="G44">
        <f t="shared" si="10"/>
        <v>61.708680703687264</v>
      </c>
      <c r="H44">
        <f t="shared" si="0"/>
        <v>42.48836494276257</v>
      </c>
    </row>
    <row r="45" spans="2:8" ht="13.5">
      <c r="B45">
        <f t="shared" si="7"/>
        <v>40.3569519160871</v>
      </c>
      <c r="C45">
        <f t="shared" si="8"/>
        <v>77</v>
      </c>
      <c r="D45">
        <f t="shared" si="3"/>
        <v>1.3439035240356338</v>
      </c>
      <c r="E45">
        <f t="shared" si="4"/>
        <v>1.0389068600650337</v>
      </c>
      <c r="F45">
        <f t="shared" si="9"/>
        <v>4.618368485070262</v>
      </c>
      <c r="G45">
        <f t="shared" si="10"/>
        <v>57.13987730357685</v>
      </c>
      <c r="H45">
        <f t="shared" si="0"/>
        <v>40.3569519160871</v>
      </c>
    </row>
    <row r="46" spans="2:8" ht="13.5">
      <c r="B46">
        <f t="shared" si="7"/>
        <v>38.100960978195054</v>
      </c>
      <c r="C46">
        <f t="shared" si="8"/>
        <v>78</v>
      </c>
      <c r="D46">
        <f t="shared" si="3"/>
        <v>1.361356816555577</v>
      </c>
      <c r="E46">
        <f t="shared" si="4"/>
        <v>0.9565045275151002</v>
      </c>
      <c r="F46">
        <f t="shared" si="9"/>
        <v>4.600532676892632</v>
      </c>
      <c r="G46">
        <f t="shared" si="10"/>
        <v>52.607749013330505</v>
      </c>
      <c r="H46">
        <f t="shared" si="0"/>
        <v>38.100960978195054</v>
      </c>
    </row>
    <row r="47" spans="2:8" ht="13.5">
      <c r="B47">
        <f t="shared" si="7"/>
        <v>35.71786963065689</v>
      </c>
      <c r="C47">
        <f t="shared" si="8"/>
        <v>79</v>
      </c>
      <c r="D47">
        <f t="shared" si="3"/>
        <v>1.3788101090755203</v>
      </c>
      <c r="E47">
        <f t="shared" si="4"/>
        <v>0.8747113911197336</v>
      </c>
      <c r="F47">
        <f t="shared" si="9"/>
        <v>4.584225127298464</v>
      </c>
      <c r="G47">
        <f t="shared" si="10"/>
        <v>48.10912651158535</v>
      </c>
      <c r="H47">
        <f t="shared" si="0"/>
        <v>35.71786963065689</v>
      </c>
    </row>
    <row r="48" spans="2:8" ht="13.5">
      <c r="B48">
        <f t="shared" si="7"/>
        <v>33.204797051067345</v>
      </c>
      <c r="C48">
        <f t="shared" si="8"/>
        <v>80</v>
      </c>
      <c r="D48">
        <f t="shared" si="3"/>
        <v>1.3962634015954636</v>
      </c>
      <c r="E48">
        <f t="shared" si="4"/>
        <v>0.7934714131880928</v>
      </c>
      <c r="F48">
        <f t="shared" si="9"/>
        <v>4.569419753485852</v>
      </c>
      <c r="G48">
        <f t="shared" si="10"/>
        <v>43.6409277253451</v>
      </c>
      <c r="H48">
        <f t="shared" si="0"/>
        <v>33.204797051067345</v>
      </c>
    </row>
    <row r="49" spans="2:8" ht="13.5">
      <c r="B49">
        <f t="shared" si="7"/>
        <v>30.558490447069993</v>
      </c>
      <c r="C49">
        <f t="shared" si="8"/>
        <v>81</v>
      </c>
      <c r="D49">
        <f t="shared" si="3"/>
        <v>1.413716694115407</v>
      </c>
      <c r="E49">
        <f t="shared" si="4"/>
        <v>0.7127299814604134</v>
      </c>
      <c r="F49">
        <f t="shared" si="9"/>
        <v>4.556093066046013</v>
      </c>
      <c r="G49">
        <f t="shared" si="10"/>
        <v>39.200148980322744</v>
      </c>
      <c r="H49">
        <f t="shared" si="0"/>
        <v>30.558490447069993</v>
      </c>
    </row>
    <row r="50" spans="2:8" ht="13.5">
      <c r="B50">
        <f t="shared" si="7"/>
        <v>27.775309027771662</v>
      </c>
      <c r="C50">
        <f t="shared" si="8"/>
        <v>82</v>
      </c>
      <c r="D50">
        <f t="shared" si="3"/>
        <v>1.43116998663535</v>
      </c>
      <c r="E50">
        <f t="shared" si="4"/>
        <v>0.6324337561607627</v>
      </c>
      <c r="F50">
        <f t="shared" si="9"/>
        <v>4.544224076333782</v>
      </c>
      <c r="G50">
        <f t="shared" si="10"/>
        <v>34.78385658884195</v>
      </c>
      <c r="H50">
        <f t="shared" si="0"/>
        <v>27.775309027771662</v>
      </c>
    </row>
    <row r="51" spans="2:8" ht="13.5">
      <c r="B51">
        <f>(G51/COS(θ)*SIN(D51-φ+θ)-cu*F51*COS(φ))/COS(D51-φ-α-δu)</f>
        <v>24.851205432532755</v>
      </c>
      <c r="C51">
        <f>C50+1</f>
        <v>83</v>
      </c>
      <c r="D51">
        <f>C51*PI()/180</f>
        <v>1.4486232791552935</v>
      </c>
      <c r="E51">
        <f>IF(β=0,Hw*(TAN(α)+1/TAN(D51))-zc/TAN(D51),MAX(0,(Ht-zc)/TAN(D51)+Hw*TAN(α)-Ho/TAN(β)))</f>
        <v>0.5525305240630707</v>
      </c>
      <c r="F51">
        <f>IF(β=0,(Hw-zc)/SIN(D51),IF(E51&gt;0,(Ht-zc)/SIN(D51),1/SIN(D51-β)*(COS(α-β)/COS(α)*Hw-COS(β)*zc)))</f>
        <v>4.533794214564818</v>
      </c>
      <c r="G51">
        <f>IF(β=0,γ/2/SIN(D51)*(Hw^2*COS(D51-α)/COS(α)-zc^2*COS(D51))+q*E51,IF(E51&gt;0,γ/2/COS(α)*(COS(D51-α)/SIN(D51)*Ht^2-COS(α-β)/SIN(β)*Ho^2-COS(α)/TAN(D51)*zc^2)+E51*q,γ/2/SIN(D51-β)*(COS(D51-α)*COS(α-β)/(COS(α))^2*Hw^2-COS(D51)*COS(β)*zc^2)))</f>
        <v>30.38917882346889</v>
      </c>
      <c r="H51">
        <f t="shared" si="0"/>
        <v>24.851205432532755</v>
      </c>
    </row>
    <row r="52" spans="2:8" ht="13.5">
      <c r="B52">
        <f>(G52/COS(θ)*SIN(D52-φ+θ)-cu*F52*COS(φ))/COS(D52-φ-α-δu)</f>
        <v>21.7817044270169</v>
      </c>
      <c r="C52">
        <f>C51+1</f>
        <v>84</v>
      </c>
      <c r="D52">
        <f t="shared" si="3"/>
        <v>1.4660765716752369</v>
      </c>
      <c r="E52">
        <f t="shared" si="4"/>
        <v>0.472969058695544</v>
      </c>
      <c r="F52">
        <f>IF(β=0,(Hw-zc)/SIN(D52),IF(E52&gt;0,(Ht-zc)/SIN(D52),1/SIN(D52-β)*(COS(α-β)/COS(α)*Hw-COS(β)*zc)))</f>
        <v>4.524787258035824</v>
      </c>
      <c r="G52">
        <f>IF(β=0,γ/2/SIN(D52)*(Hw^2*COS(D52-α)/COS(α)-zc^2*COS(D52))+q*E52,IF(E52&gt;0,γ/2/COS(α)*(COS(D52-α)/SIN(D52)*Ht^2-COS(α-β)/SIN(β)*Ho^2-COS(α)/TAN(D52)*zc^2)+E52*q,γ/2/SIN(D52-β)*(COS(D52-α)*COS(α-β)/(COS(α))^2*Hw^2-COS(D52)*COS(β)*zc^2)))</f>
        <v>26.013298228254925</v>
      </c>
      <c r="H52">
        <f t="shared" si="0"/>
        <v>21.7817044270169</v>
      </c>
    </row>
    <row r="53" spans="2:8" ht="13.5">
      <c r="B53">
        <f>(G53/COS(θ)*SIN(D53-φ+θ)-cu*F53*COS(φ))/COS(D53-φ-α-δu)</f>
        <v>18.561878643059668</v>
      </c>
      <c r="C53">
        <f>C52+1</f>
        <v>85</v>
      </c>
      <c r="D53">
        <f t="shared" si="3"/>
        <v>1.4835298641951802</v>
      </c>
      <c r="E53">
        <f t="shared" si="4"/>
        <v>0.39369898586665786</v>
      </c>
      <c r="F53">
        <f>IF(β=0,(Hw-zc)/SIN(D53),IF(E53&gt;0,(Ht-zc)/SIN(D53),1/SIN(D53-β)*(COS(α-β)/COS(α)*Hw-COS(β)*zc)))</f>
        <v>4.517189268945063</v>
      </c>
      <c r="G53">
        <f>IF(β=0,γ/2/SIN(D53)*(Hw^2*COS(D53-α)/COS(α)-zc^2*COS(D53))+q*E53,IF(E53&gt;0,γ/2/COS(α)*(COS(D53-α)/SIN(D53)*Ht^2-COS(α-β)/SIN(β)*Ho^2-COS(α)/TAN(D53)*zc^2)+E53*q,γ/2/SIN(D53-β)*(COS(D53-α)*COS(α-β)/(COS(α))^2*Hw^2-COS(D53)*COS(β)*zc^2)))</f>
        <v>21.65344422266618</v>
      </c>
      <c r="H53">
        <f t="shared" si="0"/>
        <v>18.561878643059668</v>
      </c>
    </row>
    <row r="54" spans="2:8" ht="13.5">
      <c r="B54">
        <f>(G54/COS(θ)*SIN(D54-φ+θ)-cu*F54*COS(φ))/COS(D54-φ-α-δu)</f>
        <v>15.186321101730288</v>
      </c>
      <c r="C54">
        <f>C53+1</f>
        <v>86</v>
      </c>
      <c r="D54">
        <f t="shared" si="3"/>
        <v>1.5009831567151233</v>
      </c>
      <c r="E54">
        <f t="shared" si="4"/>
        <v>0.31467065374579756</v>
      </c>
      <c r="F54">
        <f>IF(β=0,(Hw-zc)/SIN(D54),IF(E54&gt;0,(Ht-zc)/SIN(D54),1/SIN(D54-β)*(COS(α-β)/COS(α)*Hw-COS(β)*zc)))</f>
        <v>4.510988541365275</v>
      </c>
      <c r="G54">
        <f>IF(β=0,γ/2/SIN(D54)*(Hw^2*COS(D54-α)/COS(α)-zc^2*COS(D54))+q*E54,IF(E54&gt;0,γ/2/COS(α)*(COS(D54-α)/SIN(D54)*Ht^2-COS(α-β)/SIN(β)*Ho^2-COS(α)/TAN(D54)*zc^2)+E54*q,γ/2/SIN(D54-β)*(COS(D54-α)*COS(α-β)/(COS(α))^2*Hw^2-COS(D54)*COS(β)*zc^2)))</f>
        <v>17.306885956018867</v>
      </c>
      <c r="H54">
        <f t="shared" si="0"/>
        <v>15.186321101730288</v>
      </c>
    </row>
    <row r="55" spans="2:8" ht="13.5">
      <c r="B55">
        <f>(G55/COS(θ)*SIN(D55-φ+θ)-cu*F55*COS(φ))/COS(D55-φ-α-δu)</f>
        <v>11.649114217150695</v>
      </c>
      <c r="C55">
        <f>C54+1</f>
        <v>87</v>
      </c>
      <c r="D55">
        <f t="shared" si="3"/>
        <v>1.5184364492350666</v>
      </c>
      <c r="E55">
        <f t="shared" si="4"/>
        <v>0.23583500677368605</v>
      </c>
      <c r="F55">
        <f>IF(β=0,(Hw-zc)/SIN(D55),IF(E55&gt;0,(Ht-zc)/SIN(D55),1/SIN(D55-β)*(COS(α-β)/COS(α)*Hw-COS(β)*zc)))</f>
        <v>4.5061755569906445</v>
      </c>
      <c r="G55">
        <f>IF(β=0,γ/2/SIN(D55)*(Hw^2*COS(D55-α)/COS(α)-zc^2*COS(D55))+q*E55,IF(E55&gt;0,γ/2/COS(α)*(COS(D55-α)/SIN(D55)*Ht^2-COS(α-β)/SIN(β)*Ho^2-COS(α)/TAN(D55)*zc^2)+E55*q,γ/2/SIN(D55-β)*(COS(D55-α)*COS(α-β)/(COS(α))^2*Hw^2-COS(D55)*COS(β)*zc^2)))</f>
        <v>12.970925372552731</v>
      </c>
      <c r="H55">
        <f t="shared" si="0"/>
        <v>11.649114217150695</v>
      </c>
    </row>
    <row r="56" spans="2:8" ht="13.5">
      <c r="B56" t="s">
        <v>171</v>
      </c>
      <c r="C56" t="s">
        <v>172</v>
      </c>
      <c r="D56" t="s">
        <v>173</v>
      </c>
      <c r="E56" t="s">
        <v>176</v>
      </c>
      <c r="F56" t="s">
        <v>175</v>
      </c>
      <c r="G56" t="s">
        <v>174</v>
      </c>
      <c r="H56" t="str">
        <f t="shared" si="0"/>
        <v>P</v>
      </c>
    </row>
    <row r="57" spans="2:8" ht="13.5">
      <c r="B57">
        <f>MAX(B3:B55)</f>
        <v>60.49112247191481</v>
      </c>
      <c r="C57">
        <f>VLOOKUP($B$57,$B$3:$G$55,2,FALSE)</f>
        <v>59</v>
      </c>
      <c r="D57">
        <f>VLOOKUP($B$57,$B$3:$G$55,3,FALSE)</f>
        <v>1.0297442586766543</v>
      </c>
      <c r="E57">
        <f>VLOOKUP($B$57,$B$3:$G$55,4,FALSE)</f>
        <v>2.703872785624023</v>
      </c>
      <c r="F57">
        <f>VLOOKUP($B$57,$B$3:$G$55,5,FALSE)</f>
        <v>5.249850287468988</v>
      </c>
      <c r="G57">
        <f>VLOOKUP($B$57,$B$3:$G$55,6,FALSE)</f>
        <v>148.71300320932124</v>
      </c>
      <c r="H57">
        <f t="shared" si="0"/>
        <v>60.49112247191481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CJ44"/>
  <sheetViews>
    <sheetView showGridLines="0" showRowColHeaders="0" tabSelected="1" workbookViewId="0" topLeftCell="A1">
      <selection activeCell="H37" sqref="H37"/>
    </sheetView>
  </sheetViews>
  <sheetFormatPr defaultColWidth="8.796875" defaultRowHeight="18" customHeight="1"/>
  <cols>
    <col min="1" max="5" width="9" style="126" customWidth="1"/>
    <col min="6" max="6" width="5.09765625" style="126" customWidth="1"/>
    <col min="7" max="8" width="9" style="126" customWidth="1"/>
    <col min="9" max="9" width="9.09765625" style="126" bestFit="1" customWidth="1"/>
    <col min="10" max="10" width="9.59765625" style="126" bestFit="1" customWidth="1"/>
    <col min="11" max="11" width="9.09765625" style="126" bestFit="1" customWidth="1"/>
    <col min="12" max="23" width="9" style="126" customWidth="1"/>
    <col min="24" max="25" width="9" style="128" customWidth="1"/>
    <col min="26" max="78" width="9" style="126" customWidth="1"/>
    <col min="79" max="79" width="8.5" style="126" customWidth="1"/>
    <col min="80" max="80" width="9" style="126" customWidth="1"/>
    <col min="81" max="81" width="12.09765625" style="126" customWidth="1"/>
    <col min="82" max="16384" width="9" style="126" customWidth="1"/>
  </cols>
  <sheetData>
    <row r="1" spans="7:25" ht="18" customHeight="1">
      <c r="G1" s="128" t="str">
        <f>'設計計算'!C2</f>
        <v>常時</v>
      </c>
      <c r="J1" s="126" t="str">
        <f>"q="&amp;q&amp;"kN/m2"</f>
        <v>q=10kN/m2</v>
      </c>
      <c r="X1" s="126"/>
      <c r="Y1" s="126"/>
    </row>
    <row r="2" spans="1:82" ht="18" customHeight="1">
      <c r="A2" s="121" t="s">
        <v>12</v>
      </c>
      <c r="B2" s="122" t="s">
        <v>83</v>
      </c>
      <c r="C2" s="123" t="s">
        <v>84</v>
      </c>
      <c r="D2" s="109">
        <v>5</v>
      </c>
      <c r="E2" s="125" t="s">
        <v>93</v>
      </c>
      <c r="M2" s="121" t="s">
        <v>13</v>
      </c>
      <c r="N2" s="131" t="s">
        <v>14</v>
      </c>
      <c r="O2" s="61">
        <v>200</v>
      </c>
      <c r="X2" s="126"/>
      <c r="Y2" s="126"/>
      <c r="BZ2" s="156"/>
      <c r="CA2" s="156"/>
      <c r="CB2" s="156"/>
      <c r="CC2" s="156"/>
      <c r="CD2" s="156"/>
    </row>
    <row r="3" spans="2:82" ht="18" customHeight="1">
      <c r="B3" s="129" t="s">
        <v>180</v>
      </c>
      <c r="C3" s="123" t="s">
        <v>85</v>
      </c>
      <c r="D3" s="109">
        <v>2.5</v>
      </c>
      <c r="E3" s="125" t="s">
        <v>93</v>
      </c>
      <c r="X3" s="130"/>
      <c r="Y3" s="126"/>
      <c r="BZ3" s="156"/>
      <c r="CA3" s="156" t="str">
        <f>"H="&amp;H&amp;"m"</f>
        <v>H=5m</v>
      </c>
      <c r="CB3" s="156"/>
      <c r="CC3" s="157" t="str">
        <f>"γ="&amp;γ&amp;"kN/m3"</f>
        <v>γ=20kN/m3</v>
      </c>
      <c r="CD3" s="156"/>
    </row>
    <row r="4" spans="2:88" ht="18" customHeight="1">
      <c r="B4" s="122" t="s">
        <v>181</v>
      </c>
      <c r="C4" s="123" t="s">
        <v>269</v>
      </c>
      <c r="D4" s="109">
        <v>1</v>
      </c>
      <c r="E4" s="125" t="s">
        <v>93</v>
      </c>
      <c r="X4" s="159"/>
      <c r="Y4" s="160"/>
      <c r="Z4" s="160"/>
      <c r="AA4" s="158"/>
      <c r="AB4" s="158"/>
      <c r="AC4" s="158"/>
      <c r="AD4" s="158"/>
      <c r="AE4" s="158"/>
      <c r="AF4" s="158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05"/>
      <c r="CA4" s="156" t="str">
        <f>"B="&amp;B&amp;"m"</f>
        <v>B=2.5m</v>
      </c>
      <c r="CB4" s="105"/>
      <c r="CC4" s="157" t="str">
        <f>"φ="&amp;φd&amp;"゜"</f>
        <v>φ=35゜</v>
      </c>
      <c r="CD4" s="105"/>
      <c r="CE4" s="120"/>
      <c r="CF4" s="120"/>
      <c r="CG4" s="120"/>
      <c r="CH4" s="120"/>
      <c r="CI4" s="120"/>
      <c r="CJ4" s="120"/>
    </row>
    <row r="5" spans="2:82" ht="18" customHeight="1">
      <c r="B5" s="122" t="s">
        <v>182</v>
      </c>
      <c r="C5" s="123" t="s">
        <v>270</v>
      </c>
      <c r="D5" s="109">
        <v>0.5</v>
      </c>
      <c r="E5" s="125" t="s">
        <v>93</v>
      </c>
      <c r="X5" s="160" t="s">
        <v>453</v>
      </c>
      <c r="Y5" s="160">
        <f>J26</f>
        <v>60.23271881956531</v>
      </c>
      <c r="Z5" s="159"/>
      <c r="BZ5" s="156"/>
      <c r="CA5" s="156" t="str">
        <f>"bo="&amp;bo&amp;"m"</f>
        <v>bo=0.5m</v>
      </c>
      <c r="CB5" s="156"/>
      <c r="CC5" s="157" t="str">
        <f>"c="&amp;cu&amp;"kN/m2"</f>
        <v>c=0kN/m2</v>
      </c>
      <c r="CD5" s="156"/>
    </row>
    <row r="6" spans="2:82" ht="18" customHeight="1">
      <c r="B6" s="122" t="s">
        <v>86</v>
      </c>
      <c r="C6" s="123" t="s">
        <v>271</v>
      </c>
      <c r="D6" s="109">
        <v>0.5</v>
      </c>
      <c r="E6" s="125" t="s">
        <v>93</v>
      </c>
      <c r="X6" s="160" t="s">
        <v>454</v>
      </c>
      <c r="Y6" s="160">
        <f>J27</f>
        <v>69.07254993056665</v>
      </c>
      <c r="Z6" s="16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Z6" s="156"/>
      <c r="CA6" s="156" t="str">
        <f>"bu="&amp;bu&amp;"m"</f>
        <v>bu=0.5m</v>
      </c>
      <c r="CB6" s="156"/>
      <c r="CC6" s="156"/>
      <c r="CD6" s="156"/>
    </row>
    <row r="7" spans="2:82" ht="18" customHeight="1">
      <c r="B7" s="122" t="s">
        <v>15</v>
      </c>
      <c r="C7" s="123" t="s">
        <v>272</v>
      </c>
      <c r="D7" s="109">
        <v>0.5</v>
      </c>
      <c r="E7" s="125" t="s">
        <v>93</v>
      </c>
      <c r="X7" s="160" t="s">
        <v>455</v>
      </c>
      <c r="Y7" s="160">
        <f>Y5*PI()/180</f>
        <v>1.051259260829367</v>
      </c>
      <c r="Z7" s="159"/>
      <c r="BZ7" s="156"/>
      <c r="CA7" s="156" t="str">
        <f>"bt="&amp;bt&amp;"m"</f>
        <v>bt=1m</v>
      </c>
      <c r="CB7" s="156"/>
      <c r="CC7" s="157" t="str">
        <f>"μ="&amp;μ</f>
        <v>μ=0.6</v>
      </c>
      <c r="CD7" s="156"/>
    </row>
    <row r="8" spans="2:82" ht="18" customHeight="1">
      <c r="B8" s="122" t="s">
        <v>87</v>
      </c>
      <c r="C8" s="123" t="s">
        <v>273</v>
      </c>
      <c r="D8" s="109">
        <v>0.5</v>
      </c>
      <c r="E8" s="125" t="s">
        <v>93</v>
      </c>
      <c r="X8" s="160" t="s">
        <v>456</v>
      </c>
      <c r="Y8" s="160">
        <f>Y6*PI()/180</f>
        <v>1.2055434190365688</v>
      </c>
      <c r="Z8" s="159"/>
      <c r="BZ8" s="156"/>
      <c r="CA8" s="156" t="str">
        <f>"ta="&amp;ta&amp;"m"</f>
        <v>ta=0.5m</v>
      </c>
      <c r="CB8" s="156"/>
      <c r="CC8" s="157" t="str">
        <f>"qd="&amp;qd&amp;"kN/m2"</f>
        <v>qd=900kN/m2</v>
      </c>
      <c r="CD8" s="156"/>
    </row>
    <row r="9" spans="2:82" ht="18" customHeight="1">
      <c r="B9" s="122" t="s">
        <v>88</v>
      </c>
      <c r="C9" s="131" t="s">
        <v>274</v>
      </c>
      <c r="D9" s="108">
        <v>0</v>
      </c>
      <c r="E9" s="125"/>
      <c r="X9" s="160" t="s">
        <v>457</v>
      </c>
      <c r="Y9" s="160">
        <f>Y11*COS(Y7)</f>
        <v>2.859736483809603</v>
      </c>
      <c r="Z9" s="160"/>
      <c r="BZ9" s="156"/>
      <c r="CA9" s="156" t="str">
        <f>"tb="&amp;tb&amp;"m"</f>
        <v>tb=0.5m</v>
      </c>
      <c r="CB9" s="156"/>
      <c r="CC9" s="156"/>
      <c r="CD9" s="156"/>
    </row>
    <row r="10" spans="2:82" ht="18" customHeight="1">
      <c r="B10" s="129" t="s">
        <v>89</v>
      </c>
      <c r="C10" s="123" t="s">
        <v>275</v>
      </c>
      <c r="D10" s="107">
        <v>10</v>
      </c>
      <c r="E10" s="125" t="s">
        <v>93</v>
      </c>
      <c r="X10" s="160" t="s">
        <v>386</v>
      </c>
      <c r="Y10" s="160">
        <f>MIN(Lh,COS(Y8)*COS(β)/SIN(Y8+β)*HA)</f>
        <v>1</v>
      </c>
      <c r="Z10" s="159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Z10" s="156"/>
      <c r="CA10" s="156" t="str">
        <f>"Df="&amp;Df&amp;"m"</f>
        <v>Df=1m</v>
      </c>
      <c r="CB10" s="156"/>
      <c r="CC10" s="156"/>
      <c r="CD10" s="156"/>
    </row>
    <row r="11" spans="1:82" ht="18" customHeight="1">
      <c r="A11" s="121" t="s">
        <v>16</v>
      </c>
      <c r="B11" s="122" t="s">
        <v>90</v>
      </c>
      <c r="C11" s="131" t="s">
        <v>17</v>
      </c>
      <c r="D11" s="108">
        <v>0</v>
      </c>
      <c r="E11" s="125"/>
      <c r="X11" s="160" t="s">
        <v>458</v>
      </c>
      <c r="Y11" s="160">
        <f>HA/SIN(Y7-β)*COS(β)</f>
        <v>5.760042773871711</v>
      </c>
      <c r="Z11" s="159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Z11" s="156"/>
      <c r="CA11" s="156"/>
      <c r="CB11" s="156"/>
      <c r="CC11" s="156"/>
      <c r="CD11" s="156"/>
    </row>
    <row r="12" spans="2:82" ht="18" customHeight="1">
      <c r="B12" s="122" t="s">
        <v>18</v>
      </c>
      <c r="C12" s="134" t="s">
        <v>276</v>
      </c>
      <c r="D12" s="61">
        <v>20</v>
      </c>
      <c r="E12" s="125" t="s">
        <v>277</v>
      </c>
      <c r="X12" s="160" t="s">
        <v>459</v>
      </c>
      <c r="Y12" s="160">
        <f>IF(Y8&gt;=ωL2,HA/SIN(Y8+β)*COS(β),(Lh-H*TAN(α))/COS(Y8+α)*COS(α))</f>
        <v>2.7996654831610313</v>
      </c>
      <c r="Z12" s="159"/>
      <c r="BZ12" s="156"/>
      <c r="CA12" s="156"/>
      <c r="CB12" s="156"/>
      <c r="CC12" s="156"/>
      <c r="CD12" s="156"/>
    </row>
    <row r="13" spans="2:82" ht="18" customHeight="1">
      <c r="B13" s="135" t="s">
        <v>91</v>
      </c>
      <c r="C13" s="134" t="s">
        <v>278</v>
      </c>
      <c r="D13" s="61">
        <v>35</v>
      </c>
      <c r="E13" s="122" t="s">
        <v>19</v>
      </c>
      <c r="X13" s="160" t="s">
        <v>460</v>
      </c>
      <c r="Y13" s="160">
        <f>0.5*γ*HA*Y9+Y9*qr</f>
        <v>171.5841890285762</v>
      </c>
      <c r="Z13" s="159"/>
      <c r="BZ13" s="156"/>
      <c r="CA13" s="156"/>
      <c r="CB13" s="156"/>
      <c r="CC13" s="156"/>
      <c r="CD13" s="156"/>
    </row>
    <row r="14" spans="1:82" ht="18" customHeight="1">
      <c r="A14" s="121" t="s">
        <v>179</v>
      </c>
      <c r="B14" s="136" t="s">
        <v>186</v>
      </c>
      <c r="C14" s="123" t="s">
        <v>187</v>
      </c>
      <c r="D14" s="61">
        <v>10</v>
      </c>
      <c r="E14" s="125" t="s">
        <v>280</v>
      </c>
      <c r="X14" s="160" t="s">
        <v>461</v>
      </c>
      <c r="Y14" s="160">
        <f>0.5*γ/SIN(Y8+β)*(HA^2*COS(Y8)*COS(β)-(Y15/COS(α))^2*COS(Y8+α)*COS(β-α))+Y10*qf</f>
        <v>73.85018772992186</v>
      </c>
      <c r="Z14" s="159"/>
      <c r="BZ14" s="156"/>
      <c r="CA14" s="156"/>
      <c r="CB14" s="156"/>
      <c r="CC14" s="156"/>
      <c r="CD14" s="156"/>
    </row>
    <row r="15" spans="2:82" ht="18" customHeight="1">
      <c r="B15" s="121" t="s">
        <v>94</v>
      </c>
      <c r="X15" s="160" t="s">
        <v>462</v>
      </c>
      <c r="Y15" s="160">
        <f>MAX(0,H-Y12*SIN(Y8))</f>
        <v>2.3850187729921863</v>
      </c>
      <c r="Z15" s="159"/>
      <c r="AA15" s="130"/>
      <c r="BZ15" s="156"/>
      <c r="CA15" s="156"/>
      <c r="CB15" s="156"/>
      <c r="CC15" s="156"/>
      <c r="CD15" s="156"/>
    </row>
    <row r="16" spans="1:82" ht="18" customHeight="1">
      <c r="A16" s="121" t="s">
        <v>95</v>
      </c>
      <c r="B16" s="121" t="s">
        <v>20</v>
      </c>
      <c r="E16" s="130">
        <f>IF(kH&gt;0,"設計震度","")</f>
      </c>
      <c r="F16" s="137">
        <f>IF(kH&gt;0,kH,"")</f>
      </c>
      <c r="X16" s="160" t="s">
        <v>463</v>
      </c>
      <c r="Y16" s="160">
        <f>0.5*γ*Y15^2*Kac+qav*Kac*Y15</f>
        <v>15.673543361924919</v>
      </c>
      <c r="Z16" s="159"/>
      <c r="BZ16" s="156"/>
      <c r="CA16" s="156"/>
      <c r="CB16" s="156"/>
      <c r="CC16" s="156"/>
      <c r="CD16" s="156"/>
    </row>
    <row r="17" spans="2:82" ht="18" customHeight="1">
      <c r="B17" s="121" t="s">
        <v>21</v>
      </c>
      <c r="F17" s="138"/>
      <c r="H17" s="130"/>
      <c r="X17" s="160" t="s">
        <v>464</v>
      </c>
      <c r="Y17" s="160">
        <f>((Y13+Y14)/COS(θ)*SIN(Y8-φ-θ)+Y16*COS(Y8-φ+δc+α))/SIN(Y7+Y8-2*φ)</f>
        <v>169.72429635927278</v>
      </c>
      <c r="Z17" s="159"/>
      <c r="BZ17" s="156"/>
      <c r="CA17" s="156"/>
      <c r="CB17" s="156"/>
      <c r="CC17" s="156"/>
      <c r="CD17" s="156"/>
    </row>
    <row r="18" spans="2:82" ht="18" customHeight="1">
      <c r="B18" s="121" t="s">
        <v>22</v>
      </c>
      <c r="F18" s="138"/>
      <c r="X18" s="159" t="s">
        <v>465</v>
      </c>
      <c r="Y18" s="159">
        <f>((Y13+Y14)*(SIN(Y7-φ)+TAN(θ)*COS(Y7-φ))-Y16*COS(Y7-φ-δc-α))/SIN(Y7+Y8-2*φ)</f>
        <v>103.45717387762859</v>
      </c>
      <c r="Z18" s="159"/>
      <c r="AA18" s="130"/>
      <c r="BZ18" s="156"/>
      <c r="CA18" s="156"/>
      <c r="CB18" s="156"/>
      <c r="CC18" s="156"/>
      <c r="CD18" s="156"/>
    </row>
    <row r="19" spans="1:82" ht="18" customHeight="1">
      <c r="A19" s="122" t="s">
        <v>24</v>
      </c>
      <c r="E19" s="130">
        <f>IF(P&gt;0,"衝突荷重","")</f>
      </c>
      <c r="F19" s="137">
        <f>IF(P&gt;0,P,"")</f>
      </c>
      <c r="G19" s="139">
        <f>IF(P&gt;0,"kN","")</f>
      </c>
      <c r="X19" s="160" t="s">
        <v>466</v>
      </c>
      <c r="Y19" s="160">
        <f>IF(hc=0,'土圧計算'!F13,ATAN((Y13-Y17*COS(Y7-φ))/(Y17*SIN(Y7-φ)+Y13*TAN(θ))))</f>
        <v>0.24453831916360255</v>
      </c>
      <c r="Z19" s="159">
        <f>Y19*180/PI()</f>
        <v>14.011013617297525</v>
      </c>
      <c r="AA19" s="130"/>
      <c r="BZ19" s="156"/>
      <c r="CA19" s="156"/>
      <c r="CB19" s="156"/>
      <c r="CC19" s="156"/>
      <c r="CD19" s="156"/>
    </row>
    <row r="20" spans="1:82" ht="18" customHeight="1">
      <c r="A20" s="122" t="s">
        <v>27</v>
      </c>
      <c r="B20" s="135" t="s">
        <v>28</v>
      </c>
      <c r="C20" s="123" t="s">
        <v>282</v>
      </c>
      <c r="D20" s="61">
        <v>900</v>
      </c>
      <c r="E20" s="125" t="s">
        <v>283</v>
      </c>
      <c r="H20" s="122" t="s">
        <v>23</v>
      </c>
      <c r="I20" s="125"/>
      <c r="J20" s="125"/>
      <c r="K20" s="125"/>
      <c r="L20" s="125"/>
      <c r="X20" s="159"/>
      <c r="Y20" s="159"/>
      <c r="Z20" s="159"/>
      <c r="BZ20" s="156"/>
      <c r="CA20" s="156"/>
      <c r="CB20" s="156"/>
      <c r="CC20" s="156"/>
      <c r="CD20" s="156"/>
    </row>
    <row r="21" spans="2:26" ht="18" customHeight="1">
      <c r="B21" s="122" t="s">
        <v>31</v>
      </c>
      <c r="C21" s="134" t="s">
        <v>284</v>
      </c>
      <c r="D21" s="61">
        <v>0.6</v>
      </c>
      <c r="E21" s="125"/>
      <c r="H21" s="168" t="s">
        <v>7</v>
      </c>
      <c r="I21" s="169"/>
      <c r="J21" s="140" t="s">
        <v>8</v>
      </c>
      <c r="K21" s="140" t="s">
        <v>9</v>
      </c>
      <c r="L21" s="141" t="s">
        <v>10</v>
      </c>
      <c r="X21" s="160" t="s">
        <v>467</v>
      </c>
      <c r="Y21" s="160">
        <f>Y13-Y17*COS(Y7-φ)</f>
        <v>18.05434632102532</v>
      </c>
      <c r="Z21" s="159"/>
    </row>
    <row r="22" spans="1:26" ht="18" customHeight="1">
      <c r="A22" s="121" t="s">
        <v>142</v>
      </c>
      <c r="B22" s="135" t="s">
        <v>97</v>
      </c>
      <c r="C22" s="123" t="s">
        <v>285</v>
      </c>
      <c r="D22" s="107">
        <v>1</v>
      </c>
      <c r="E22" s="125" t="s">
        <v>167</v>
      </c>
      <c r="H22" s="142" t="s">
        <v>25</v>
      </c>
      <c r="I22" s="142" t="s">
        <v>26</v>
      </c>
      <c r="J22" s="132">
        <f>'設計計算'!D276</f>
        <v>7.94</v>
      </c>
      <c r="K22" s="133">
        <f>'設計計算'!F276</f>
        <v>3</v>
      </c>
      <c r="L22" s="127" t="str">
        <f>IF(J22&gt;=K22,"SAFE","OUT")</f>
        <v>SAFE</v>
      </c>
      <c r="X22" s="160" t="s">
        <v>468</v>
      </c>
      <c r="Y22" s="160">
        <f>J28/COS(Y19)</f>
        <v>74.57133225257857</v>
      </c>
      <c r="Z22" s="159"/>
    </row>
    <row r="23" spans="2:26" ht="18" customHeight="1">
      <c r="B23" s="135" t="s">
        <v>200</v>
      </c>
      <c r="C23" s="143" t="s">
        <v>286</v>
      </c>
      <c r="D23" s="61">
        <v>18</v>
      </c>
      <c r="E23" s="125" t="s">
        <v>277</v>
      </c>
      <c r="H23" s="142" t="s">
        <v>29</v>
      </c>
      <c r="I23" s="142" t="s">
        <v>30</v>
      </c>
      <c r="J23" s="132">
        <f>'設計計算'!E294</f>
        <v>1.79</v>
      </c>
      <c r="K23" s="133">
        <f>'設計計算'!G294</f>
        <v>1.5</v>
      </c>
      <c r="L23" s="127" t="str">
        <f>IF(J23&gt;=K23,"SAFE","OUT")</f>
        <v>SAFE</v>
      </c>
      <c r="X23" s="160" t="s">
        <v>469</v>
      </c>
      <c r="Y23" s="160">
        <f>2*Y22/γ/HA^2</f>
        <v>0.2982853290103143</v>
      </c>
      <c r="Z23" s="159"/>
    </row>
    <row r="24" spans="2:26" ht="18" customHeight="1">
      <c r="B24" s="135" t="s">
        <v>33</v>
      </c>
      <c r="C24" s="143" t="s">
        <v>287</v>
      </c>
      <c r="D24" s="61">
        <v>30</v>
      </c>
      <c r="E24" s="122" t="s">
        <v>19</v>
      </c>
      <c r="H24" s="144" t="s">
        <v>32</v>
      </c>
      <c r="I24" s="142" t="s">
        <v>11</v>
      </c>
      <c r="J24" s="145">
        <f>'設計計算'!E300</f>
        <v>8.42</v>
      </c>
      <c r="K24" s="133">
        <f>'設計計算'!G300</f>
        <v>3</v>
      </c>
      <c r="L24" s="127" t="str">
        <f>IF(J24&gt;=K24,"SAFE","OUT")</f>
        <v>SAFE</v>
      </c>
      <c r="X24" s="159"/>
      <c r="Y24" s="159"/>
      <c r="Z24" s="159"/>
    </row>
    <row r="25" spans="1:25" ht="18" customHeight="1">
      <c r="A25" s="125"/>
      <c r="B25" s="161"/>
      <c r="C25" s="162"/>
      <c r="D25" s="137"/>
      <c r="E25" s="153"/>
      <c r="H25" s="130" t="s">
        <v>424</v>
      </c>
      <c r="X25" s="126"/>
      <c r="Y25" s="126"/>
    </row>
    <row r="26" spans="1:25" ht="18" customHeight="1">
      <c r="A26" s="118" t="s">
        <v>449</v>
      </c>
      <c r="G26" s="146"/>
      <c r="H26" s="147" t="s">
        <v>418</v>
      </c>
      <c r="I26" s="148" t="s">
        <v>422</v>
      </c>
      <c r="J26" s="124">
        <v>60.23271881956531</v>
      </c>
      <c r="K26" s="146"/>
      <c r="L26" s="146"/>
      <c r="M26" s="146"/>
      <c r="X26" s="126"/>
      <c r="Y26" s="126"/>
    </row>
    <row r="27" spans="1:25" ht="18" customHeight="1">
      <c r="A27" s="119" t="s">
        <v>450</v>
      </c>
      <c r="G27" s="146"/>
      <c r="H27" s="148" t="s">
        <v>419</v>
      </c>
      <c r="I27" s="148" t="s">
        <v>423</v>
      </c>
      <c r="J27" s="124">
        <v>69.07254993056665</v>
      </c>
      <c r="K27" s="149"/>
      <c r="L27" s="149"/>
      <c r="M27" s="149"/>
      <c r="X27" s="126"/>
      <c r="Y27" s="126"/>
    </row>
    <row r="28" spans="7:25" ht="18" customHeight="1">
      <c r="G28" s="146"/>
      <c r="H28" s="147" t="s">
        <v>420</v>
      </c>
      <c r="I28" s="150" t="s">
        <v>421</v>
      </c>
      <c r="J28" s="124">
        <f>Y17*SIN(Y7-φ)+Y13*TAN(θ)</f>
        <v>72.352775847544</v>
      </c>
      <c r="K28" s="151"/>
      <c r="L28" s="137"/>
      <c r="M28" s="137"/>
      <c r="X28" s="126"/>
      <c r="Y28" s="126"/>
    </row>
    <row r="29" spans="1:25" ht="18" customHeight="1">
      <c r="A29" s="152"/>
      <c r="B29" s="153"/>
      <c r="C29" s="154"/>
      <c r="D29" s="137"/>
      <c r="E29" s="153"/>
      <c r="G29" s="128">
        <f>IF(φ-β-θ&lt;=0,"φ-β-θ≦0となり計算不能","")</f>
      </c>
      <c r="I29" s="155"/>
      <c r="J29" s="155"/>
      <c r="K29" s="155"/>
      <c r="L29" s="137"/>
      <c r="M29" s="137"/>
      <c r="X29" s="126"/>
      <c r="Y29" s="126"/>
    </row>
    <row r="30" spans="2:25" ht="18" customHeight="1">
      <c r="B30" s="149"/>
      <c r="C30" s="151"/>
      <c r="D30" s="151"/>
      <c r="E30" s="151"/>
      <c r="F30" s="137"/>
      <c r="G30" s="137"/>
      <c r="X30" s="126"/>
      <c r="Y30" s="126"/>
    </row>
    <row r="31" spans="24:25" ht="18" customHeight="1">
      <c r="X31" s="126"/>
      <c r="Y31" s="126"/>
    </row>
    <row r="32" spans="1:25" ht="17.25" customHeight="1">
      <c r="A32" s="130"/>
      <c r="B32" s="130"/>
      <c r="X32" s="126"/>
      <c r="Y32" s="126"/>
    </row>
    <row r="33" spans="1:25" ht="28.5" customHeight="1">
      <c r="A33" s="130"/>
      <c r="B33" s="130"/>
      <c r="X33" s="126"/>
      <c r="Y33" s="126"/>
    </row>
    <row r="34" spans="1:25" ht="18" customHeight="1">
      <c r="A34" s="130"/>
      <c r="B34" s="130"/>
      <c r="X34" s="126"/>
      <c r="Y34" s="126"/>
    </row>
    <row r="35" spans="24:25" ht="18" customHeight="1">
      <c r="X35" s="126"/>
      <c r="Y35" s="126"/>
    </row>
    <row r="36" spans="24:25" ht="18" customHeight="1">
      <c r="X36" s="126"/>
      <c r="Y36" s="126"/>
    </row>
    <row r="37" spans="24:25" ht="18" customHeight="1">
      <c r="X37" s="126"/>
      <c r="Y37" s="126"/>
    </row>
    <row r="38" spans="24:25" ht="18" customHeight="1">
      <c r="X38" s="126"/>
      <c r="Y38" s="126"/>
    </row>
    <row r="39" spans="2:25" ht="18" customHeight="1">
      <c r="B39" s="172"/>
      <c r="C39" s="171"/>
      <c r="D39" s="146"/>
      <c r="E39" s="146"/>
      <c r="F39" s="146"/>
      <c r="X39" s="126"/>
      <c r="Y39" s="126"/>
    </row>
    <row r="40" spans="2:25" ht="18" customHeight="1">
      <c r="B40" s="172"/>
      <c r="C40" s="171"/>
      <c r="D40" s="146"/>
      <c r="E40" s="146"/>
      <c r="F40" s="146"/>
      <c r="X40" s="126"/>
      <c r="Y40" s="126"/>
    </row>
    <row r="41" spans="2:25" ht="18" customHeight="1">
      <c r="B41" s="172"/>
      <c r="C41" s="171"/>
      <c r="D41" s="146"/>
      <c r="E41" s="146"/>
      <c r="F41" s="146"/>
      <c r="X41" s="126"/>
      <c r="Y41" s="126"/>
    </row>
    <row r="42" spans="2:25" ht="18" customHeight="1">
      <c r="B42" s="170"/>
      <c r="C42" s="171"/>
      <c r="D42" s="146"/>
      <c r="E42" s="146"/>
      <c r="F42" s="146"/>
      <c r="X42" s="126"/>
      <c r="Y42" s="126"/>
    </row>
    <row r="43" spans="2:25" ht="18" customHeight="1">
      <c r="B43" s="146"/>
      <c r="C43" s="146"/>
      <c r="D43" s="146"/>
      <c r="E43" s="146"/>
      <c r="F43" s="146"/>
      <c r="X43" s="126"/>
      <c r="Y43" s="126"/>
    </row>
    <row r="44" spans="24:25" ht="18" customHeight="1">
      <c r="X44" s="126"/>
      <c r="Y44" s="126"/>
    </row>
  </sheetData>
  <sheetProtection/>
  <mergeCells count="5">
    <mergeCell ref="H21:I21"/>
    <mergeCell ref="B42:C42"/>
    <mergeCell ref="B39:C39"/>
    <mergeCell ref="B40:C40"/>
    <mergeCell ref="B41:C41"/>
  </mergeCells>
  <conditionalFormatting sqref="K28">
    <cfRule type="cellIs" priority="1" dxfId="0" operator="greaterThan" stopIfTrue="1">
      <formula>$L$28</formula>
    </cfRule>
  </conditionalFormatting>
  <conditionalFormatting sqref="I29:K29">
    <cfRule type="cellIs" priority="2" dxfId="0" operator="greaterThan" stopIfTrue="1">
      <formula>$L$29</formula>
    </cfRule>
  </conditionalFormatting>
  <conditionalFormatting sqref="C30:E30">
    <cfRule type="cellIs" priority="3" dxfId="0" operator="greaterThan" stopIfTrue="1">
      <formula>$F$30</formula>
    </cfRule>
  </conditionalFormatting>
  <conditionalFormatting sqref="J22">
    <cfRule type="cellIs" priority="4" dxfId="0" operator="lessThan" stopIfTrue="1">
      <formula>$K$22</formula>
    </cfRule>
  </conditionalFormatting>
  <conditionalFormatting sqref="J23">
    <cfRule type="cellIs" priority="5" dxfId="0" operator="lessThan" stopIfTrue="1">
      <formula>$K$23</formula>
    </cfRule>
  </conditionalFormatting>
  <conditionalFormatting sqref="J24">
    <cfRule type="cellIs" priority="6" dxfId="0" operator="lessThan" stopIfTrue="1">
      <formula>$K$24</formula>
    </cfRule>
  </conditionalFormatting>
  <printOptions/>
  <pageMargins left="0.75" right="0.75" top="1" bottom="1" header="0.512" footer="0.512"/>
  <pageSetup horizontalDpi="600" verticalDpi="600" orientation="landscape" paperSize="9" scale="6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Z467"/>
  <sheetViews>
    <sheetView workbookViewId="0" topLeftCell="A178">
      <selection activeCell="E190" sqref="E190"/>
    </sheetView>
  </sheetViews>
  <sheetFormatPr defaultColWidth="8.796875" defaultRowHeight="18" customHeight="1"/>
  <cols>
    <col min="1" max="1" width="9" style="110" customWidth="1"/>
    <col min="2" max="3" width="9" style="17" customWidth="1"/>
    <col min="4" max="4" width="9.09765625" style="17" bestFit="1" customWidth="1"/>
    <col min="5" max="5" width="9.19921875" style="12" bestFit="1" customWidth="1"/>
    <col min="6" max="6" width="9.5" style="17" bestFit="1" customWidth="1"/>
    <col min="7" max="7" width="9.09765625" style="17" bestFit="1" customWidth="1"/>
    <col min="8" max="8" width="8.5" style="17" customWidth="1"/>
    <col min="9" max="16384" width="9" style="17" customWidth="1"/>
  </cols>
  <sheetData>
    <row r="1" ht="18" customHeight="1">
      <c r="A1" s="110" t="s">
        <v>472</v>
      </c>
    </row>
    <row r="2" spans="1:3" ht="18" customHeight="1">
      <c r="A2" s="110" t="s">
        <v>473</v>
      </c>
      <c r="C2" s="12" t="str">
        <f>IF(kH&gt;0,"地震時",IF(P&gt;0,"衝突時","常時"))</f>
        <v>常時</v>
      </c>
    </row>
    <row r="3" ht="18" customHeight="1">
      <c r="A3" s="110" t="s">
        <v>474</v>
      </c>
    </row>
    <row r="4" spans="2:18" ht="18" customHeight="1">
      <c r="B4" s="23" t="s">
        <v>83</v>
      </c>
      <c r="C4" s="4" t="s">
        <v>84</v>
      </c>
      <c r="D4" s="64">
        <f>'入力'!D2</f>
        <v>5</v>
      </c>
      <c r="E4" s="3" t="s">
        <v>93</v>
      </c>
      <c r="R4" s="17" t="str">
        <f>C4&amp;H&amp;E4</f>
        <v>H=5m</v>
      </c>
    </row>
    <row r="5" spans="2:18" ht="18" customHeight="1">
      <c r="B5" s="23" t="s">
        <v>180</v>
      </c>
      <c r="C5" s="4" t="s">
        <v>85</v>
      </c>
      <c r="D5" s="64">
        <f>'入力'!D3</f>
        <v>2.5</v>
      </c>
      <c r="E5" s="3" t="s">
        <v>93</v>
      </c>
      <c r="R5" s="17" t="str">
        <f>C5&amp;B&amp;E5</f>
        <v>B=2.5m</v>
      </c>
    </row>
    <row r="6" spans="2:18" ht="18" customHeight="1">
      <c r="B6" s="23" t="s">
        <v>181</v>
      </c>
      <c r="C6" s="4" t="s">
        <v>269</v>
      </c>
      <c r="D6" s="64">
        <f>'入力'!D4</f>
        <v>1</v>
      </c>
      <c r="E6" s="3" t="s">
        <v>93</v>
      </c>
      <c r="R6" s="17" t="str">
        <f>C6&amp;bt&amp;E6</f>
        <v>bt=1m</v>
      </c>
    </row>
    <row r="7" spans="2:18" ht="18" customHeight="1">
      <c r="B7" s="23" t="s">
        <v>182</v>
      </c>
      <c r="C7" s="4" t="s">
        <v>270</v>
      </c>
      <c r="D7" s="64">
        <f>'入力'!D5</f>
        <v>0.5</v>
      </c>
      <c r="E7" s="3" t="s">
        <v>93</v>
      </c>
      <c r="R7" s="17" t="str">
        <f>C7&amp;ta&amp;E7</f>
        <v>ta=0.5m</v>
      </c>
    </row>
    <row r="8" spans="2:18" ht="18" customHeight="1">
      <c r="B8" s="23" t="s">
        <v>86</v>
      </c>
      <c r="C8" s="4" t="s">
        <v>271</v>
      </c>
      <c r="D8" s="64">
        <f>'入力'!D6</f>
        <v>0.5</v>
      </c>
      <c r="E8" s="3" t="s">
        <v>93</v>
      </c>
      <c r="R8" s="17" t="str">
        <f>C8&amp;tb&amp;E8</f>
        <v>tb=0.5m</v>
      </c>
    </row>
    <row r="9" spans="2:18" ht="18" customHeight="1">
      <c r="B9" s="23" t="s">
        <v>183</v>
      </c>
      <c r="C9" s="4" t="s">
        <v>272</v>
      </c>
      <c r="D9" s="64">
        <f>'入力'!D7</f>
        <v>0.5</v>
      </c>
      <c r="E9" s="3" t="s">
        <v>93</v>
      </c>
      <c r="R9" s="17" t="str">
        <f>C9&amp;bo&amp;E9</f>
        <v>bo=0.5m</v>
      </c>
    </row>
    <row r="10" spans="2:18" ht="18" customHeight="1">
      <c r="B10" s="23" t="s">
        <v>87</v>
      </c>
      <c r="C10" s="4" t="s">
        <v>273</v>
      </c>
      <c r="D10" s="64">
        <f>'入力'!D8</f>
        <v>0.5</v>
      </c>
      <c r="E10" s="3" t="s">
        <v>93</v>
      </c>
      <c r="R10" s="17" t="str">
        <f>C10&amp;bu&amp;E10</f>
        <v>bu=0.5m</v>
      </c>
    </row>
    <row r="11" spans="2:18" ht="18" customHeight="1">
      <c r="B11" s="23" t="s">
        <v>88</v>
      </c>
      <c r="C11" s="5" t="s">
        <v>274</v>
      </c>
      <c r="D11" s="64">
        <f>'入力'!D9</f>
        <v>0</v>
      </c>
      <c r="E11" s="3"/>
      <c r="R11" s="17" t="str">
        <f>"1: "&amp;n</f>
        <v>1: 0</v>
      </c>
    </row>
    <row r="12" spans="2:18" ht="18" customHeight="1">
      <c r="B12" s="23" t="s">
        <v>89</v>
      </c>
      <c r="C12" s="4" t="s">
        <v>275</v>
      </c>
      <c r="D12" s="64">
        <f>'入力'!D10</f>
        <v>10</v>
      </c>
      <c r="E12" s="3" t="s">
        <v>93</v>
      </c>
      <c r="R12" s="17" t="str">
        <f>C12&amp;Lw&amp;E12</f>
        <v>Lw=10m</v>
      </c>
    </row>
    <row r="30" spans="1:5" ht="18" customHeight="1">
      <c r="A30" s="111" t="s">
        <v>475</v>
      </c>
      <c r="B30" s="3"/>
      <c r="C30" s="3"/>
      <c r="D30" s="4"/>
      <c r="E30" s="63"/>
    </row>
    <row r="31" spans="1:18" ht="18" customHeight="1">
      <c r="A31" s="111"/>
      <c r="B31" s="3"/>
      <c r="C31" s="23" t="s">
        <v>90</v>
      </c>
      <c r="D31" s="5" t="s">
        <v>408</v>
      </c>
      <c r="E31" s="63">
        <f>'入力'!D11</f>
        <v>0</v>
      </c>
      <c r="F31" s="3"/>
      <c r="R31" s="17" t="str">
        <f>"1: "&amp;m</f>
        <v>1: 0</v>
      </c>
    </row>
    <row r="32" spans="1:6" ht="18" customHeight="1">
      <c r="A32" s="111"/>
      <c r="B32" s="3"/>
      <c r="C32" s="69" t="s">
        <v>406</v>
      </c>
      <c r="D32" s="67" t="s">
        <v>36</v>
      </c>
      <c r="E32" s="63">
        <f>β*180/PI()</f>
        <v>0</v>
      </c>
      <c r="F32" s="69" t="s">
        <v>407</v>
      </c>
    </row>
    <row r="33" spans="1:6" ht="18" customHeight="1">
      <c r="A33" s="111"/>
      <c r="B33" s="7"/>
      <c r="C33" s="48" t="s">
        <v>184</v>
      </c>
      <c r="D33" s="6" t="s">
        <v>276</v>
      </c>
      <c r="E33" s="63">
        <f>'入力'!D12</f>
        <v>20</v>
      </c>
      <c r="F33" s="7" t="s">
        <v>277</v>
      </c>
    </row>
    <row r="34" spans="1:6" ht="18" customHeight="1">
      <c r="A34" s="111"/>
      <c r="B34" s="7"/>
      <c r="C34" s="49" t="s">
        <v>91</v>
      </c>
      <c r="D34" s="6" t="s">
        <v>278</v>
      </c>
      <c r="E34" s="63">
        <f>'入力'!D13</f>
        <v>35</v>
      </c>
      <c r="F34" s="48" t="s">
        <v>178</v>
      </c>
    </row>
    <row r="35" spans="1:6" ht="18" customHeight="1">
      <c r="A35" s="111"/>
      <c r="C35" s="22" t="s">
        <v>92</v>
      </c>
      <c r="D35" s="4" t="s">
        <v>185</v>
      </c>
      <c r="E35" s="63">
        <v>0</v>
      </c>
      <c r="F35" s="7" t="s">
        <v>279</v>
      </c>
    </row>
    <row r="36" spans="1:6" ht="18" customHeight="1">
      <c r="A36" s="112" t="s">
        <v>476</v>
      </c>
      <c r="B36" s="7"/>
      <c r="C36" s="50" t="s">
        <v>186</v>
      </c>
      <c r="D36" s="8" t="s">
        <v>187</v>
      </c>
      <c r="E36" s="63">
        <f>IF(kH&gt;0,0,IF(P&gt;0,0,'入力'!D14))</f>
        <v>10</v>
      </c>
      <c r="F36" s="7" t="s">
        <v>280</v>
      </c>
    </row>
    <row r="37" spans="1:18" ht="18" customHeight="1">
      <c r="A37" s="111"/>
      <c r="C37" s="22" t="s">
        <v>94</v>
      </c>
      <c r="E37" s="12" t="str">
        <f>IF(q=0,"***",data!B21)</f>
        <v>仮想背面後方載荷</v>
      </c>
      <c r="R37" s="17" t="str">
        <f>D36&amp;q&amp;F36</f>
        <v>q=10kN/m2</v>
      </c>
    </row>
    <row r="38" spans="1:5" ht="18" customHeight="1">
      <c r="A38" s="112" t="s">
        <v>477</v>
      </c>
      <c r="C38" s="22" t="s">
        <v>127</v>
      </c>
      <c r="E38" s="12" t="str">
        <f>IF(P&gt;0,data!I4,data!I6)</f>
        <v>考慮しない</v>
      </c>
    </row>
    <row r="39" spans="3:7" ht="18" customHeight="1">
      <c r="C39" s="22" t="s">
        <v>188</v>
      </c>
      <c r="E39" s="12" t="str">
        <f>IF(P&gt;0,"***",data!L15)</f>
        <v>B地域</v>
      </c>
      <c r="F39" s="113" t="s">
        <v>425</v>
      </c>
      <c r="G39" s="57">
        <f>IF(P&gt;0,"***",data!L16)</f>
        <v>0.85</v>
      </c>
    </row>
    <row r="40" spans="3:5" ht="18" customHeight="1">
      <c r="C40" s="22" t="s">
        <v>189</v>
      </c>
      <c r="E40" s="12" t="str">
        <f>IF(P&gt;0,"***",data!I15)</f>
        <v>Ⅱ種</v>
      </c>
    </row>
    <row r="41" spans="3:5" ht="18" customHeight="1">
      <c r="C41" s="22" t="s">
        <v>190</v>
      </c>
      <c r="E41" s="63">
        <f>IF(P&gt;0,0,data!I7)</f>
        <v>0</v>
      </c>
    </row>
    <row r="42" spans="3:5" ht="18" customHeight="1">
      <c r="C42" s="22" t="s">
        <v>191</v>
      </c>
      <c r="E42" s="63">
        <f>ROUND(IF(P&gt;0,0,G39*E41),2)</f>
        <v>0</v>
      </c>
    </row>
    <row r="43" spans="1:5" ht="18" customHeight="1">
      <c r="A43" s="112" t="s">
        <v>478</v>
      </c>
      <c r="C43" s="22" t="s">
        <v>192</v>
      </c>
      <c r="E43" s="12" t="str">
        <f>data!C12</f>
        <v>なし</v>
      </c>
    </row>
    <row r="44" spans="3:6" ht="18" customHeight="1">
      <c r="C44" s="22" t="s">
        <v>193</v>
      </c>
      <c r="D44" s="4" t="s">
        <v>194</v>
      </c>
      <c r="E44" s="62">
        <f>data!C13</f>
        <v>0</v>
      </c>
      <c r="F44" s="3" t="s">
        <v>195</v>
      </c>
    </row>
    <row r="45" spans="3:6" ht="18" customHeight="1">
      <c r="C45" s="22" t="s">
        <v>196</v>
      </c>
      <c r="D45" s="4" t="s">
        <v>281</v>
      </c>
      <c r="E45" s="63">
        <f>data!C14</f>
        <v>0</v>
      </c>
      <c r="F45" s="7" t="s">
        <v>197</v>
      </c>
    </row>
    <row r="46" spans="1:5" ht="18" customHeight="1">
      <c r="A46" s="112" t="s">
        <v>479</v>
      </c>
      <c r="C46" s="17" t="str">
        <f>data!F21</f>
        <v>改良試行楔法</v>
      </c>
      <c r="E46" s="17" t="str">
        <f>IF(data!F20=1,"(道路土工－擁壁工指針の方法)","(右城の方法)")</f>
        <v>(右城の方法)</v>
      </c>
    </row>
    <row r="47" spans="1:6" ht="18" customHeight="1">
      <c r="A47" s="112" t="s">
        <v>480</v>
      </c>
      <c r="B47" s="7"/>
      <c r="C47" s="49" t="s">
        <v>198</v>
      </c>
      <c r="D47" s="8" t="s">
        <v>282</v>
      </c>
      <c r="E47" s="12">
        <f>'入力'!D20</f>
        <v>900</v>
      </c>
      <c r="F47" s="7" t="s">
        <v>283</v>
      </c>
    </row>
    <row r="48" spans="1:6" ht="18" customHeight="1">
      <c r="A48" s="111"/>
      <c r="B48" s="7"/>
      <c r="C48" s="48" t="s">
        <v>199</v>
      </c>
      <c r="D48" s="6" t="s">
        <v>284</v>
      </c>
      <c r="E48" s="12">
        <f>'入力'!D21</f>
        <v>0.6</v>
      </c>
      <c r="F48" s="7"/>
    </row>
    <row r="49" spans="1:6" ht="18" customHeight="1">
      <c r="A49" s="112" t="s">
        <v>481</v>
      </c>
      <c r="B49" s="7"/>
      <c r="C49" s="49" t="s">
        <v>97</v>
      </c>
      <c r="D49" s="8" t="s">
        <v>285</v>
      </c>
      <c r="E49" s="63">
        <f>'入力'!D22</f>
        <v>1</v>
      </c>
      <c r="F49" s="7" t="s">
        <v>167</v>
      </c>
    </row>
    <row r="50" spans="1:18" ht="18" customHeight="1">
      <c r="A50" s="111"/>
      <c r="B50" s="7"/>
      <c r="C50" s="49" t="s">
        <v>200</v>
      </c>
      <c r="D50" s="51" t="s">
        <v>286</v>
      </c>
      <c r="E50" s="62">
        <f>'入力'!D23</f>
        <v>18</v>
      </c>
      <c r="F50" s="7" t="s">
        <v>277</v>
      </c>
      <c r="R50" s="17" t="str">
        <f>D49&amp;Df&amp;F49</f>
        <v>Df=1m</v>
      </c>
    </row>
    <row r="51" spans="1:6" ht="18" customHeight="1">
      <c r="A51" s="111"/>
      <c r="B51" s="7"/>
      <c r="C51" s="49" t="s">
        <v>201</v>
      </c>
      <c r="D51" s="51" t="s">
        <v>287</v>
      </c>
      <c r="E51" s="62">
        <f>'入力'!D24</f>
        <v>30</v>
      </c>
      <c r="F51" s="48" t="s">
        <v>178</v>
      </c>
    </row>
    <row r="52" spans="1:6" ht="18" customHeight="1">
      <c r="A52" s="111"/>
      <c r="B52" s="7"/>
      <c r="C52" s="48" t="s">
        <v>202</v>
      </c>
      <c r="D52" s="8" t="s">
        <v>288</v>
      </c>
      <c r="E52" s="62">
        <f>'入力'!D25</f>
        <v>0</v>
      </c>
      <c r="F52" s="7" t="s">
        <v>279</v>
      </c>
    </row>
    <row r="53" spans="1:4" ht="18" customHeight="1">
      <c r="A53" s="111" t="s">
        <v>482</v>
      </c>
      <c r="B53" s="3"/>
      <c r="C53" s="3"/>
      <c r="D53" s="5"/>
    </row>
    <row r="54" spans="1:6" ht="18" customHeight="1">
      <c r="A54" s="111"/>
      <c r="B54" s="3"/>
      <c r="C54" s="46" t="s">
        <v>98</v>
      </c>
      <c r="D54" s="51" t="s">
        <v>289</v>
      </c>
      <c r="E54" s="12">
        <v>24.5</v>
      </c>
      <c r="F54" s="7" t="s">
        <v>277</v>
      </c>
    </row>
    <row r="56" spans="1:18" ht="18" customHeight="1">
      <c r="A56" s="111" t="s">
        <v>483</v>
      </c>
      <c r="B56" s="67"/>
      <c r="C56" s="17" t="str">
        <f>"( "&amp;R56&amp;" )"</f>
        <v>( 常時 )</v>
      </c>
      <c r="D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12" t="str">
        <f>IF(kH&gt;0,"地震時",IF(P&gt;0,"衝突時","常時"))</f>
        <v>常時</v>
      </c>
    </row>
    <row r="57" spans="1:17" ht="18" customHeight="1">
      <c r="A57" s="111" t="s">
        <v>484</v>
      </c>
      <c r="B57" s="3"/>
      <c r="C57" s="3"/>
      <c r="D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8" customHeight="1">
      <c r="A58" s="111"/>
      <c r="B58" s="3"/>
      <c r="C58" s="3"/>
      <c r="D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8" customHeight="1">
      <c r="A59" s="111"/>
      <c r="B59" s="3"/>
      <c r="C59" s="3"/>
      <c r="D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8" customHeight="1">
      <c r="A60" s="111"/>
      <c r="B60" s="3"/>
      <c r="C60" s="3"/>
      <c r="D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8" customHeight="1">
      <c r="A61" s="111"/>
      <c r="B61" s="3"/>
      <c r="C61" s="3"/>
      <c r="D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8" customHeight="1">
      <c r="A62" s="111"/>
      <c r="B62" s="3"/>
      <c r="C62" s="3"/>
      <c r="D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8" customHeight="1">
      <c r="A63" s="111"/>
      <c r="B63" s="3"/>
      <c r="C63" s="3"/>
      <c r="D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8" customHeight="1">
      <c r="A64" s="111"/>
      <c r="B64" s="3"/>
      <c r="C64" s="3"/>
      <c r="D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8" customHeight="1">
      <c r="A65" s="111"/>
      <c r="B65" s="3"/>
      <c r="C65" s="3"/>
      <c r="D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8" customHeight="1">
      <c r="A66" s="111"/>
      <c r="B66" s="3"/>
      <c r="C66" s="3"/>
      <c r="D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8" customHeight="1">
      <c r="A67" s="111"/>
      <c r="B67" s="3"/>
      <c r="C67" s="3"/>
      <c r="D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8" customHeight="1">
      <c r="A68" s="111"/>
      <c r="B68" s="3"/>
      <c r="C68" s="3"/>
      <c r="D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8" customHeight="1">
      <c r="A69" s="111"/>
      <c r="B69" s="3"/>
      <c r="C69" s="3"/>
      <c r="D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8" customHeight="1">
      <c r="A70" s="111"/>
      <c r="B70" s="3"/>
      <c r="C70" s="3"/>
      <c r="D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8" customHeight="1">
      <c r="A71" s="111"/>
      <c r="B71" s="3"/>
      <c r="C71" s="3"/>
      <c r="D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8" customHeight="1">
      <c r="A72" s="111"/>
      <c r="B72" s="3"/>
      <c r="C72" s="3"/>
      <c r="D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8" customHeight="1">
      <c r="A73" s="111"/>
      <c r="B73" s="3"/>
      <c r="C73" s="3"/>
      <c r="D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8" customHeight="1">
      <c r="A74" s="173"/>
      <c r="B74" s="175" t="s">
        <v>143</v>
      </c>
      <c r="C74" s="176"/>
      <c r="D74" s="24" t="s">
        <v>144</v>
      </c>
      <c r="E74" s="24" t="s">
        <v>145</v>
      </c>
      <c r="F74" s="175" t="s">
        <v>146</v>
      </c>
      <c r="G74" s="176"/>
      <c r="H74" s="183" t="s">
        <v>290</v>
      </c>
      <c r="I74" s="184"/>
      <c r="J74" s="165"/>
      <c r="K74" s="165"/>
      <c r="L74" s="165"/>
      <c r="M74" s="165"/>
      <c r="N74" s="165"/>
      <c r="O74" s="165"/>
      <c r="P74" s="165"/>
      <c r="Q74" s="165"/>
    </row>
    <row r="75" spans="1:17" ht="18" customHeight="1">
      <c r="A75" s="174"/>
      <c r="B75" s="25" t="s">
        <v>147</v>
      </c>
      <c r="C75" s="25" t="s">
        <v>148</v>
      </c>
      <c r="D75" s="26" t="s">
        <v>149</v>
      </c>
      <c r="E75" s="26" t="s">
        <v>203</v>
      </c>
      <c r="F75" s="27" t="s">
        <v>150</v>
      </c>
      <c r="G75" s="27" t="s">
        <v>151</v>
      </c>
      <c r="H75" s="27" t="s">
        <v>152</v>
      </c>
      <c r="I75" s="27" t="s">
        <v>153</v>
      </c>
      <c r="J75" s="166"/>
      <c r="K75" s="166"/>
      <c r="L75" s="166"/>
      <c r="M75" s="166"/>
      <c r="N75" s="166"/>
      <c r="O75" s="166"/>
      <c r="P75" s="166"/>
      <c r="Q75" s="166"/>
    </row>
    <row r="76" spans="1:17" ht="18" customHeight="1">
      <c r="A76" s="28" t="s">
        <v>154</v>
      </c>
      <c r="B76" s="29">
        <f>ROUND(Hw*n,3)</f>
        <v>0</v>
      </c>
      <c r="C76" s="29">
        <f>Hw</f>
        <v>4.5</v>
      </c>
      <c r="D76" s="29">
        <f>ROUND(1/2*B76*C76,3)</f>
        <v>0</v>
      </c>
      <c r="E76" s="30">
        <f>ROUND(γc*D76,2)</f>
        <v>0</v>
      </c>
      <c r="F76" s="30">
        <f>ROUND(bt+B76/3*2,2)</f>
        <v>1</v>
      </c>
      <c r="G76" s="30">
        <f>ROUND(tb+C76/3,2)</f>
        <v>2</v>
      </c>
      <c r="H76" s="30">
        <f aca="true" t="shared" si="0" ref="H76:H86">ROUND(E76*F76,2)</f>
        <v>0</v>
      </c>
      <c r="I76" s="30">
        <f aca="true" t="shared" si="1" ref="I76:I86">ROUND(E76*G76,2)</f>
        <v>0</v>
      </c>
      <c r="J76" s="167"/>
      <c r="K76" s="167"/>
      <c r="L76" s="167"/>
      <c r="M76" s="167"/>
      <c r="N76" s="167"/>
      <c r="O76" s="167"/>
      <c r="P76" s="167"/>
      <c r="Q76" s="167"/>
    </row>
    <row r="77" spans="1:17" ht="18" customHeight="1">
      <c r="A77" s="28" t="s">
        <v>155</v>
      </c>
      <c r="B77" s="29">
        <f>bo</f>
        <v>0.5</v>
      </c>
      <c r="C77" s="29">
        <f>Hw</f>
        <v>4.5</v>
      </c>
      <c r="D77" s="29">
        <f>ROUND(B77*C77,3)</f>
        <v>2.25</v>
      </c>
      <c r="E77" s="30">
        <f aca="true" t="shared" si="2" ref="E77:E82">ROUND(γc*D77,2)</f>
        <v>55.13</v>
      </c>
      <c r="F77" s="30">
        <f>ROUND(bt+Hw*n+bo/2,2)</f>
        <v>1.25</v>
      </c>
      <c r="G77" s="30">
        <f>ROUND(Hw/2+tb,2)</f>
        <v>2.75</v>
      </c>
      <c r="H77" s="30">
        <f t="shared" si="0"/>
        <v>68.91</v>
      </c>
      <c r="I77" s="30">
        <f t="shared" si="1"/>
        <v>151.61</v>
      </c>
      <c r="J77" s="167"/>
      <c r="K77" s="167"/>
      <c r="L77" s="167"/>
      <c r="M77" s="167"/>
      <c r="N77" s="167"/>
      <c r="O77" s="167"/>
      <c r="P77" s="167"/>
      <c r="Q77" s="167"/>
    </row>
    <row r="78" spans="1:17" ht="18" customHeight="1">
      <c r="A78" s="28" t="s">
        <v>156</v>
      </c>
      <c r="B78" s="29">
        <f>bu-bo-B76</f>
        <v>0</v>
      </c>
      <c r="C78" s="29">
        <f>Hw</f>
        <v>4.5</v>
      </c>
      <c r="D78" s="29">
        <f>ROUND(1/2*B78*C78,3)</f>
        <v>0</v>
      </c>
      <c r="E78" s="30">
        <f t="shared" si="2"/>
        <v>0</v>
      </c>
      <c r="F78" s="30">
        <f>ROUND(bt+Hw*n+bo+B78/3,2)</f>
        <v>1.5</v>
      </c>
      <c r="G78" s="30">
        <f>G76</f>
        <v>2</v>
      </c>
      <c r="H78" s="30">
        <f t="shared" si="0"/>
        <v>0</v>
      </c>
      <c r="I78" s="30">
        <f t="shared" si="1"/>
        <v>0</v>
      </c>
      <c r="J78" s="167"/>
      <c r="K78" s="167"/>
      <c r="L78" s="167"/>
      <c r="M78" s="167"/>
      <c r="N78" s="167"/>
      <c r="O78" s="167"/>
      <c r="P78" s="167"/>
      <c r="Q78" s="167"/>
    </row>
    <row r="79" spans="1:17" ht="18" customHeight="1">
      <c r="A79" s="28" t="s">
        <v>410</v>
      </c>
      <c r="B79" s="29">
        <f>bt</f>
        <v>1</v>
      </c>
      <c r="C79" s="29">
        <f>tb-ta</f>
        <v>0</v>
      </c>
      <c r="D79" s="29">
        <f>ROUND(1/2*B79*C79,3)</f>
        <v>0</v>
      </c>
      <c r="E79" s="30">
        <f t="shared" si="2"/>
        <v>0</v>
      </c>
      <c r="F79" s="30">
        <f>ROUND(bt*2/3,2)</f>
        <v>0.67</v>
      </c>
      <c r="G79" s="30">
        <f>ROUND(ta+C79/3,2)</f>
        <v>0.5</v>
      </c>
      <c r="H79" s="30">
        <f t="shared" si="0"/>
        <v>0</v>
      </c>
      <c r="I79" s="30">
        <f t="shared" si="1"/>
        <v>0</v>
      </c>
      <c r="J79" s="167"/>
      <c r="K79" s="167"/>
      <c r="L79" s="167"/>
      <c r="M79" s="167"/>
      <c r="N79" s="167"/>
      <c r="O79" s="167"/>
      <c r="P79" s="167"/>
      <c r="Q79" s="167"/>
    </row>
    <row r="80" spans="1:17" ht="18" customHeight="1">
      <c r="A80" s="28" t="s">
        <v>411</v>
      </c>
      <c r="B80" s="29">
        <f>bu</f>
        <v>0.5</v>
      </c>
      <c r="C80" s="29">
        <f>tb-ta</f>
        <v>0</v>
      </c>
      <c r="D80" s="29">
        <f>ROUND(B80*C80,3)</f>
        <v>0</v>
      </c>
      <c r="E80" s="30">
        <f t="shared" si="2"/>
        <v>0</v>
      </c>
      <c r="F80" s="30">
        <f>ROUND(B79+B80/2,2)</f>
        <v>1.25</v>
      </c>
      <c r="G80" s="30">
        <f>ROUND(ta+C80/2,2)</f>
        <v>0.5</v>
      </c>
      <c r="H80" s="30">
        <f t="shared" si="0"/>
        <v>0</v>
      </c>
      <c r="I80" s="30">
        <f t="shared" si="1"/>
        <v>0</v>
      </c>
      <c r="J80" s="167"/>
      <c r="K80" s="167"/>
      <c r="L80" s="167"/>
      <c r="M80" s="167"/>
      <c r="N80" s="167"/>
      <c r="O80" s="167"/>
      <c r="P80" s="167"/>
      <c r="Q80" s="167"/>
    </row>
    <row r="81" spans="1:17" ht="18" customHeight="1">
      <c r="A81" s="28" t="s">
        <v>412</v>
      </c>
      <c r="B81" s="29">
        <f>B-bt-bu</f>
        <v>1</v>
      </c>
      <c r="C81" s="29">
        <f>C79</f>
        <v>0</v>
      </c>
      <c r="D81" s="29">
        <f>ROUND(1/2*B81*C81,3)</f>
        <v>0</v>
      </c>
      <c r="E81" s="30">
        <f t="shared" si="2"/>
        <v>0</v>
      </c>
      <c r="F81" s="30">
        <f>ROUND(B79+B80+B81/3,2)</f>
        <v>1.83</v>
      </c>
      <c r="G81" s="30">
        <f>G79</f>
        <v>0.5</v>
      </c>
      <c r="H81" s="30">
        <f t="shared" si="0"/>
        <v>0</v>
      </c>
      <c r="I81" s="30">
        <f t="shared" si="1"/>
        <v>0</v>
      </c>
      <c r="J81" s="167"/>
      <c r="K81" s="167"/>
      <c r="L81" s="167"/>
      <c r="M81" s="167"/>
      <c r="N81" s="167"/>
      <c r="O81" s="167"/>
      <c r="P81" s="167"/>
      <c r="Q81" s="167"/>
    </row>
    <row r="82" spans="1:17" ht="18" customHeight="1">
      <c r="A82" s="28" t="s">
        <v>413</v>
      </c>
      <c r="B82" s="29">
        <f>B</f>
        <v>2.5</v>
      </c>
      <c r="C82" s="29">
        <f>ta</f>
        <v>0.5</v>
      </c>
      <c r="D82" s="29">
        <f>ROUND(B82*C82,3)</f>
        <v>1.25</v>
      </c>
      <c r="E82" s="30">
        <f t="shared" si="2"/>
        <v>30.63</v>
      </c>
      <c r="F82" s="30">
        <f>ROUND(B82/2,2)</f>
        <v>1.25</v>
      </c>
      <c r="G82" s="30">
        <f>ROUND(ta/2,2)</f>
        <v>0.25</v>
      </c>
      <c r="H82" s="30">
        <f t="shared" si="0"/>
        <v>38.29</v>
      </c>
      <c r="I82" s="30">
        <f t="shared" si="1"/>
        <v>7.66</v>
      </c>
      <c r="J82" s="167"/>
      <c r="K82" s="167"/>
      <c r="L82" s="167"/>
      <c r="M82" s="167"/>
      <c r="N82" s="167"/>
      <c r="O82" s="167"/>
      <c r="P82" s="167"/>
      <c r="Q82" s="167"/>
    </row>
    <row r="83" spans="1:17" ht="18" customHeight="1">
      <c r="A83" s="28" t="s">
        <v>414</v>
      </c>
      <c r="B83" s="29">
        <f>B78</f>
        <v>0</v>
      </c>
      <c r="C83" s="29">
        <f>C78</f>
        <v>4.5</v>
      </c>
      <c r="D83" s="29">
        <f>ROUND(1/2*B83*C83,3)</f>
        <v>0</v>
      </c>
      <c r="E83" s="30">
        <f>ROUND(γ*D83,2)</f>
        <v>0</v>
      </c>
      <c r="F83" s="30">
        <f>ROUND(B79+B76+B77+B83*2/3,2)</f>
        <v>1.5</v>
      </c>
      <c r="G83" s="30">
        <f>ROUND(Hw/3*2+tb,2)</f>
        <v>3.5</v>
      </c>
      <c r="H83" s="30">
        <f t="shared" si="0"/>
        <v>0</v>
      </c>
      <c r="I83" s="30">
        <f t="shared" si="1"/>
        <v>0</v>
      </c>
      <c r="J83" s="167"/>
      <c r="K83" s="167"/>
      <c r="L83" s="167"/>
      <c r="M83" s="167"/>
      <c r="N83" s="167"/>
      <c r="O83" s="167"/>
      <c r="P83" s="167"/>
      <c r="Q83" s="167"/>
    </row>
    <row r="84" spans="1:17" ht="18" customHeight="1">
      <c r="A84" s="28" t="s">
        <v>415</v>
      </c>
      <c r="B84" s="29">
        <f>B81</f>
        <v>1</v>
      </c>
      <c r="C84" s="29">
        <f>C83</f>
        <v>4.5</v>
      </c>
      <c r="D84" s="29">
        <f>ROUND(B84*C84,3)</f>
        <v>4.5</v>
      </c>
      <c r="E84" s="30">
        <f>ROUND(γ*D84,2)</f>
        <v>90</v>
      </c>
      <c r="F84" s="30">
        <f>ROUND(B-B84/2,2)</f>
        <v>2</v>
      </c>
      <c r="G84" s="30">
        <f>ROUND(Hw/2+tb,2)</f>
        <v>2.75</v>
      </c>
      <c r="H84" s="30">
        <f t="shared" si="0"/>
        <v>180</v>
      </c>
      <c r="I84" s="30">
        <f t="shared" si="1"/>
        <v>247.5</v>
      </c>
      <c r="J84" s="167"/>
      <c r="K84" s="167"/>
      <c r="L84" s="167"/>
      <c r="M84" s="167"/>
      <c r="N84" s="167"/>
      <c r="O84" s="167"/>
      <c r="P84" s="167"/>
      <c r="Q84" s="167"/>
    </row>
    <row r="85" spans="1:17" ht="18" customHeight="1">
      <c r="A85" s="28" t="s">
        <v>416</v>
      </c>
      <c r="B85" s="29">
        <f>B84</f>
        <v>1</v>
      </c>
      <c r="C85" s="29">
        <f>tb-ta</f>
        <v>0</v>
      </c>
      <c r="D85" s="29">
        <f>ROUND(1/2*B85*C85,3)</f>
        <v>0</v>
      </c>
      <c r="E85" s="30">
        <f>ROUND(γ*D85,2)</f>
        <v>0</v>
      </c>
      <c r="F85" s="30">
        <f>ROUND(B-B85/3,2)</f>
        <v>2.17</v>
      </c>
      <c r="G85" s="30">
        <f>ROUND(C85/3*2+ta,2)</f>
        <v>0.5</v>
      </c>
      <c r="H85" s="30">
        <f t="shared" si="0"/>
        <v>0</v>
      </c>
      <c r="I85" s="30">
        <f t="shared" si="1"/>
        <v>0</v>
      </c>
      <c r="J85" s="167"/>
      <c r="K85" s="167"/>
      <c r="L85" s="167"/>
      <c r="M85" s="167"/>
      <c r="N85" s="167"/>
      <c r="O85" s="167"/>
      <c r="P85" s="167"/>
      <c r="Q85" s="167"/>
    </row>
    <row r="86" spans="1:17" ht="18" customHeight="1">
      <c r="A86" s="31" t="s">
        <v>417</v>
      </c>
      <c r="B86" s="32">
        <f>Lh</f>
        <v>1</v>
      </c>
      <c r="C86" s="32">
        <f>Lh*TAN(β)</f>
        <v>0</v>
      </c>
      <c r="D86" s="32">
        <f>ROUND(1/2*B86*C86,3)</f>
        <v>0</v>
      </c>
      <c r="E86" s="33">
        <f>ROUND(γ*D86,2)</f>
        <v>0</v>
      </c>
      <c r="F86" s="33">
        <f>ROUND(B-Lh+B86*2/3,2)</f>
        <v>2.17</v>
      </c>
      <c r="G86" s="33">
        <f>ROUND(C86/3+H,2)</f>
        <v>5</v>
      </c>
      <c r="H86" s="33">
        <f t="shared" si="0"/>
        <v>0</v>
      </c>
      <c r="I86" s="33">
        <f t="shared" si="1"/>
        <v>0</v>
      </c>
      <c r="J86" s="167"/>
      <c r="K86" s="167"/>
      <c r="L86" s="167"/>
      <c r="M86" s="167"/>
      <c r="N86" s="167"/>
      <c r="O86" s="167"/>
      <c r="P86" s="167"/>
      <c r="Q86" s="167"/>
    </row>
    <row r="87" spans="1:17" ht="18" customHeight="1">
      <c r="A87" s="31" t="s">
        <v>157</v>
      </c>
      <c r="B87" s="163" t="s">
        <v>471</v>
      </c>
      <c r="C87" s="163" t="s">
        <v>471</v>
      </c>
      <c r="D87" s="32">
        <f>SUM(D76:D86)</f>
        <v>8</v>
      </c>
      <c r="E87" s="33">
        <f>SUM(E76:E86)</f>
        <v>175.76</v>
      </c>
      <c r="F87" s="163" t="s">
        <v>471</v>
      </c>
      <c r="G87" s="163" t="s">
        <v>471</v>
      </c>
      <c r="H87" s="33">
        <f>SUM(H76:H86)</f>
        <v>287.2</v>
      </c>
      <c r="I87" s="33">
        <f>SUM(I76:I86)</f>
        <v>406.77</v>
      </c>
      <c r="J87" s="167"/>
      <c r="K87" s="167"/>
      <c r="L87" s="167"/>
      <c r="M87" s="167"/>
      <c r="N87" s="167"/>
      <c r="O87" s="167"/>
      <c r="P87" s="167"/>
      <c r="Q87" s="167"/>
    </row>
    <row r="88" spans="1:17" ht="18" customHeight="1">
      <c r="A88" s="111"/>
      <c r="B88" s="23" t="s">
        <v>158</v>
      </c>
      <c r="C88" s="3"/>
      <c r="D88" s="4" t="s">
        <v>291</v>
      </c>
      <c r="E88" s="63">
        <f>E87</f>
        <v>175.76</v>
      </c>
      <c r="F88" s="3" t="s">
        <v>204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8" customHeight="1">
      <c r="A89" s="111"/>
      <c r="B89" s="23" t="s">
        <v>205</v>
      </c>
      <c r="C89" s="3"/>
      <c r="D89" s="4" t="s">
        <v>292</v>
      </c>
      <c r="E89" s="63">
        <f>E88*kH</f>
        <v>0</v>
      </c>
      <c r="F89" s="3" t="s">
        <v>204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8" customHeight="1">
      <c r="A90" s="111"/>
      <c r="B90" s="23" t="s">
        <v>159</v>
      </c>
      <c r="C90" s="3"/>
      <c r="D90" s="4" t="s">
        <v>293</v>
      </c>
      <c r="E90" s="64">
        <f>H87/E87</f>
        <v>1.6340464269458352</v>
      </c>
      <c r="F90" s="3" t="s">
        <v>93</v>
      </c>
      <c r="G90" s="4" t="s">
        <v>294</v>
      </c>
      <c r="H90" s="64">
        <f>I87/E87</f>
        <v>2.3143491124260356</v>
      </c>
      <c r="I90" s="3" t="s">
        <v>93</v>
      </c>
      <c r="J90" s="3"/>
      <c r="K90" s="3"/>
      <c r="L90" s="3"/>
      <c r="M90" s="3"/>
      <c r="N90" s="3"/>
      <c r="O90" s="3"/>
      <c r="P90" s="3"/>
      <c r="Q90" s="3"/>
    </row>
    <row r="91" spans="1:17" ht="18" customHeight="1">
      <c r="A91" s="111"/>
      <c r="B91" s="23"/>
      <c r="C91" s="3"/>
      <c r="D91" s="4"/>
      <c r="E91" s="64"/>
      <c r="F91" s="3"/>
      <c r="G91" s="4"/>
      <c r="H91" s="64"/>
      <c r="I91" s="3"/>
      <c r="J91" s="3"/>
      <c r="K91" s="3"/>
      <c r="L91" s="3"/>
      <c r="M91" s="3"/>
      <c r="N91" s="3"/>
      <c r="O91" s="3"/>
      <c r="P91" s="3"/>
      <c r="Q91" s="3"/>
    </row>
    <row r="92" ht="18" customHeight="1">
      <c r="A92" s="111" t="s">
        <v>485</v>
      </c>
    </row>
    <row r="93" ht="18" customHeight="1">
      <c r="A93" s="110" t="s">
        <v>486</v>
      </c>
    </row>
    <row r="94" ht="18" customHeight="1">
      <c r="B94" s="69" t="s">
        <v>448</v>
      </c>
    </row>
    <row r="111" ht="18" customHeight="1">
      <c r="B111" s="22"/>
    </row>
    <row r="131" ht="18" customHeight="1">
      <c r="B131" s="22"/>
    </row>
    <row r="134" ht="18" customHeight="1">
      <c r="B134" s="69" t="s">
        <v>435</v>
      </c>
    </row>
    <row r="158" ht="18" customHeight="1">
      <c r="A158" s="110" t="s">
        <v>487</v>
      </c>
    </row>
    <row r="159" ht="18" customHeight="1">
      <c r="B159" s="22" t="s">
        <v>206</v>
      </c>
    </row>
    <row r="160" spans="3:6" ht="18" customHeight="1">
      <c r="C160" s="22" t="s">
        <v>208</v>
      </c>
      <c r="D160" s="4" t="s">
        <v>326</v>
      </c>
      <c r="E160" s="64">
        <f>H</f>
        <v>5</v>
      </c>
      <c r="F160" s="17" t="s">
        <v>209</v>
      </c>
    </row>
    <row r="161" spans="3:6" ht="18" customHeight="1">
      <c r="C161" s="34" t="s">
        <v>210</v>
      </c>
      <c r="D161" s="4" t="s">
        <v>328</v>
      </c>
      <c r="E161" s="64">
        <f>HA</f>
        <v>5</v>
      </c>
      <c r="F161" s="17" t="s">
        <v>207</v>
      </c>
    </row>
    <row r="162" spans="3:6" ht="18" customHeight="1">
      <c r="C162" s="69" t="s">
        <v>405</v>
      </c>
      <c r="D162" s="4" t="s">
        <v>353</v>
      </c>
      <c r="E162" s="12">
        <f>H-tb</f>
        <v>4.5</v>
      </c>
      <c r="F162" s="17" t="s">
        <v>207</v>
      </c>
    </row>
    <row r="163" spans="3:6" ht="18" customHeight="1">
      <c r="C163" s="34" t="s">
        <v>211</v>
      </c>
      <c r="D163" s="4" t="s">
        <v>329</v>
      </c>
      <c r="E163" s="64">
        <f>Lh</f>
        <v>1</v>
      </c>
      <c r="F163" s="17" t="s">
        <v>212</v>
      </c>
    </row>
    <row r="164" spans="3:6" ht="18" customHeight="1">
      <c r="C164" s="106" t="s">
        <v>266</v>
      </c>
      <c r="D164" s="46" t="s">
        <v>324</v>
      </c>
      <c r="E164" s="64">
        <f>R168*180/PI()</f>
        <v>0</v>
      </c>
      <c r="F164" s="22" t="s">
        <v>178</v>
      </c>
    </row>
    <row r="165" spans="3:6" ht="18" customHeight="1">
      <c r="C165" s="34" t="s">
        <v>409</v>
      </c>
      <c r="D165" s="46" t="s">
        <v>295</v>
      </c>
      <c r="E165" s="62">
        <f>'土圧計算'!C4</f>
        <v>0</v>
      </c>
      <c r="F165" s="22" t="s">
        <v>178</v>
      </c>
    </row>
    <row r="166" spans="3:6" ht="18" customHeight="1">
      <c r="C166" s="34" t="s">
        <v>214</v>
      </c>
      <c r="D166" s="46" t="s">
        <v>296</v>
      </c>
      <c r="E166" s="62">
        <f>γ</f>
        <v>20</v>
      </c>
      <c r="F166" s="17" t="s">
        <v>330</v>
      </c>
    </row>
    <row r="167" spans="3:6" ht="18" customHeight="1">
      <c r="C167" s="34" t="s">
        <v>201</v>
      </c>
      <c r="D167" s="46" t="s">
        <v>297</v>
      </c>
      <c r="E167" s="62">
        <f>'土圧計算'!C5</f>
        <v>35</v>
      </c>
      <c r="F167" s="22" t="s">
        <v>178</v>
      </c>
    </row>
    <row r="168" spans="3:18" ht="18" customHeight="1">
      <c r="C168" s="34" t="s">
        <v>202</v>
      </c>
      <c r="D168" s="4" t="s">
        <v>327</v>
      </c>
      <c r="E168" s="62">
        <f>cu</f>
        <v>0</v>
      </c>
      <c r="F168" s="17" t="s">
        <v>331</v>
      </c>
      <c r="R168" s="68">
        <f>ATAN((bu-Hw*n-bo)/Hw)</f>
        <v>0</v>
      </c>
    </row>
    <row r="169" spans="3:18" ht="18" customHeight="1">
      <c r="C169" s="34" t="s">
        <v>268</v>
      </c>
      <c r="D169" s="46" t="s">
        <v>325</v>
      </c>
      <c r="E169" s="64">
        <f>R173*180/PI()</f>
        <v>23.333333333333336</v>
      </c>
      <c r="F169" s="22" t="s">
        <v>178</v>
      </c>
      <c r="R169" s="12">
        <f>β</f>
        <v>0</v>
      </c>
    </row>
    <row r="170" spans="2:19" ht="18" customHeight="1">
      <c r="B170" s="22" t="s">
        <v>179</v>
      </c>
      <c r="C170" s="58"/>
      <c r="R170" s="12"/>
      <c r="S170" s="17" t="s">
        <v>267</v>
      </c>
    </row>
    <row r="171" spans="3:19" ht="18" customHeight="1">
      <c r="C171" s="23" t="s">
        <v>216</v>
      </c>
      <c r="E171" s="65" t="s">
        <v>332</v>
      </c>
      <c r="F171" s="63">
        <f>qf</f>
        <v>0</v>
      </c>
      <c r="G171" s="17" t="s">
        <v>331</v>
      </c>
      <c r="R171" s="68">
        <f>φ</f>
        <v>0.6108652381980153</v>
      </c>
      <c r="S171" s="17" t="s">
        <v>213</v>
      </c>
    </row>
    <row r="172" spans="3:7" ht="18" customHeight="1">
      <c r="C172" s="23" t="s">
        <v>217</v>
      </c>
      <c r="E172" s="65" t="s">
        <v>333</v>
      </c>
      <c r="F172" s="63">
        <f>q</f>
        <v>10</v>
      </c>
      <c r="G172" s="17" t="s">
        <v>331</v>
      </c>
    </row>
    <row r="173" spans="3:19" ht="18" customHeight="1">
      <c r="C173" s="23" t="s">
        <v>433</v>
      </c>
      <c r="E173" s="65" t="s">
        <v>434</v>
      </c>
      <c r="F173" s="63">
        <f>qav</f>
        <v>3.0377395121170228</v>
      </c>
      <c r="G173" s="17" t="s">
        <v>331</v>
      </c>
      <c r="R173" s="68">
        <f>IF(kH&gt;0,φ/2,2*φ/3)</f>
        <v>0.4072434921320102</v>
      </c>
      <c r="S173" s="17" t="s">
        <v>215</v>
      </c>
    </row>
    <row r="174" spans="2:6" ht="18" customHeight="1">
      <c r="B174" s="22" t="s">
        <v>218</v>
      </c>
      <c r="C174" s="23"/>
      <c r="E174" s="65"/>
      <c r="F174" s="63"/>
    </row>
    <row r="175" spans="3:19" ht="18" customHeight="1">
      <c r="C175" s="22" t="s">
        <v>219</v>
      </c>
      <c r="D175" s="4" t="s">
        <v>334</v>
      </c>
      <c r="E175" s="63">
        <f>kH</f>
        <v>0</v>
      </c>
      <c r="S175" s="17" t="s">
        <v>267</v>
      </c>
    </row>
    <row r="176" spans="3:6" ht="18" customHeight="1">
      <c r="C176" s="34" t="s">
        <v>220</v>
      </c>
      <c r="D176" s="46" t="s">
        <v>298</v>
      </c>
      <c r="E176" s="64">
        <f>R180*180/PI()</f>
        <v>0</v>
      </c>
      <c r="F176" s="69" t="s">
        <v>335</v>
      </c>
    </row>
    <row r="177" ht="18" customHeight="1">
      <c r="A177" s="110" t="s">
        <v>488</v>
      </c>
    </row>
    <row r="178" ht="18" customHeight="1">
      <c r="B178" s="69" t="s">
        <v>435</v>
      </c>
    </row>
    <row r="179" spans="3:6" ht="18" customHeight="1">
      <c r="C179" s="67" t="s">
        <v>439</v>
      </c>
      <c r="D179" s="4" t="s">
        <v>444</v>
      </c>
      <c r="E179" s="63">
        <f>hc</f>
        <v>2.3850187729921863</v>
      </c>
      <c r="F179" s="17" t="s">
        <v>41</v>
      </c>
    </row>
    <row r="180" spans="3:18" ht="18" customHeight="1">
      <c r="C180" s="67" t="s">
        <v>438</v>
      </c>
      <c r="D180" s="67" t="s">
        <v>443</v>
      </c>
      <c r="E180" s="64">
        <f>δc*180/PI()</f>
        <v>23.333333333333336</v>
      </c>
      <c r="F180" s="69" t="s">
        <v>335</v>
      </c>
      <c r="R180" s="64">
        <f>ATAN(E175)</f>
        <v>0</v>
      </c>
    </row>
    <row r="181" spans="3:6" ht="18" customHeight="1">
      <c r="C181" s="67" t="s">
        <v>433</v>
      </c>
      <c r="D181" s="4" t="s">
        <v>446</v>
      </c>
      <c r="E181" s="63">
        <f>qav</f>
        <v>3.0377395121170228</v>
      </c>
      <c r="F181" s="17" t="s">
        <v>331</v>
      </c>
    </row>
    <row r="182" spans="3:19" ht="18" customHeight="1">
      <c r="C182" s="67" t="s">
        <v>436</v>
      </c>
      <c r="D182" s="4" t="s">
        <v>442</v>
      </c>
      <c r="E182" s="64">
        <f>Kac</f>
        <v>0.2444094893507006</v>
      </c>
      <c r="S182" s="17" t="s">
        <v>221</v>
      </c>
    </row>
    <row r="183" spans="3:6" ht="18" customHeight="1">
      <c r="C183" s="67" t="s">
        <v>437</v>
      </c>
      <c r="D183" s="46" t="s">
        <v>441</v>
      </c>
      <c r="E183" s="63">
        <f>ωac*180/PI()</f>
        <v>58.94264746438311</v>
      </c>
      <c r="F183" s="69" t="s">
        <v>335</v>
      </c>
    </row>
    <row r="184" spans="3:6" ht="18" customHeight="1">
      <c r="C184" s="69" t="s">
        <v>440</v>
      </c>
      <c r="D184" s="4" t="s">
        <v>445</v>
      </c>
      <c r="E184" s="63">
        <f>'入力'!Y16</f>
        <v>15.673543361924919</v>
      </c>
      <c r="F184" s="17" t="s">
        <v>76</v>
      </c>
    </row>
    <row r="185" ht="18" customHeight="1">
      <c r="B185" s="69" t="s">
        <v>447</v>
      </c>
    </row>
    <row r="186" spans="3:17" ht="18" customHeight="1">
      <c r="C186" s="46" t="s">
        <v>222</v>
      </c>
      <c r="D186" s="46" t="s">
        <v>299</v>
      </c>
      <c r="E186" s="64">
        <f>'土圧計算'!L5</f>
        <v>60.23271881956531</v>
      </c>
      <c r="F186" s="22" t="s">
        <v>178</v>
      </c>
      <c r="G186" s="46" t="s">
        <v>300</v>
      </c>
      <c r="H186" s="70">
        <f>IF(data!F20=1,"***",'土圧計算'!L6)</f>
        <v>69.07254993056665</v>
      </c>
      <c r="I186" s="22" t="s">
        <v>178</v>
      </c>
      <c r="J186" s="22"/>
      <c r="K186" s="22"/>
      <c r="L186" s="22"/>
      <c r="M186" s="22"/>
      <c r="N186" s="22"/>
      <c r="O186" s="22"/>
      <c r="P186" s="22"/>
      <c r="Q186" s="22"/>
    </row>
    <row r="187" spans="3:9" ht="18" customHeight="1">
      <c r="C187" s="46" t="s">
        <v>223</v>
      </c>
      <c r="D187" s="46" t="s">
        <v>301</v>
      </c>
      <c r="E187" s="64">
        <f>'土圧計算'!L12</f>
        <v>2.859736483809603</v>
      </c>
      <c r="F187" s="17" t="s">
        <v>224</v>
      </c>
      <c r="G187" s="46" t="s">
        <v>302</v>
      </c>
      <c r="H187" s="70">
        <f>IF(data!F20=1,"***",'土圧計算'!L13)</f>
        <v>1</v>
      </c>
      <c r="I187" s="17" t="s">
        <v>224</v>
      </c>
    </row>
    <row r="188" spans="3:9" ht="18" customHeight="1">
      <c r="C188" s="46" t="s">
        <v>225</v>
      </c>
      <c r="D188" s="4" t="s">
        <v>337</v>
      </c>
      <c r="E188" s="64">
        <f>'土圧計算'!L14</f>
        <v>5.760042773871711</v>
      </c>
      <c r="F188" s="17" t="s">
        <v>226</v>
      </c>
      <c r="G188" s="4" t="s">
        <v>336</v>
      </c>
      <c r="H188" s="70">
        <f>IF(data!F20=1,"***",'土圧計算'!L15)</f>
        <v>2.7996654831610313</v>
      </c>
      <c r="I188" s="17" t="s">
        <v>226</v>
      </c>
    </row>
    <row r="189" spans="3:9" ht="18" customHeight="1">
      <c r="C189" s="46" t="s">
        <v>227</v>
      </c>
      <c r="D189" s="4" t="s">
        <v>338</v>
      </c>
      <c r="E189" s="64">
        <f>'土圧計算'!L10</f>
        <v>171.5841890285762</v>
      </c>
      <c r="F189" s="17" t="s">
        <v>228</v>
      </c>
      <c r="G189" s="4" t="s">
        <v>339</v>
      </c>
      <c r="H189" s="70">
        <f>IF(data!F20=1,"***",'土圧計算'!L11)</f>
        <v>73.85018772992186</v>
      </c>
      <c r="I189" s="17" t="s">
        <v>228</v>
      </c>
    </row>
    <row r="190" spans="3:6" ht="18" customHeight="1">
      <c r="C190" s="46" t="s">
        <v>229</v>
      </c>
      <c r="D190" s="46" t="s">
        <v>303</v>
      </c>
      <c r="E190" s="64">
        <f>'土圧計算'!L9*180/PI()</f>
        <v>14.011013617297525</v>
      </c>
      <c r="F190" s="22" t="s">
        <v>178</v>
      </c>
    </row>
    <row r="191" spans="3:6" ht="18" customHeight="1">
      <c r="C191" s="46" t="s">
        <v>230</v>
      </c>
      <c r="D191" s="4" t="s">
        <v>340</v>
      </c>
      <c r="E191" s="64">
        <f>'土圧計算'!L7</f>
        <v>74.57133225257857</v>
      </c>
      <c r="F191" s="17" t="s">
        <v>231</v>
      </c>
    </row>
    <row r="192" spans="3:6" ht="18" customHeight="1">
      <c r="C192" s="46" t="s">
        <v>232</v>
      </c>
      <c r="D192" s="4" t="s">
        <v>341</v>
      </c>
      <c r="E192" s="64">
        <f>'土圧計算'!L8</f>
        <v>72.352775847544</v>
      </c>
      <c r="F192" s="17" t="s">
        <v>231</v>
      </c>
    </row>
    <row r="193" spans="3:6" ht="18" customHeight="1">
      <c r="C193" s="46" t="s">
        <v>233</v>
      </c>
      <c r="D193" s="4" t="s">
        <v>342</v>
      </c>
      <c r="E193" s="64">
        <f>E191*SIN('土圧計算'!L9)</f>
        <v>18.05434632102532</v>
      </c>
      <c r="F193" s="17" t="s">
        <v>231</v>
      </c>
    </row>
    <row r="194" spans="3:7" ht="18" customHeight="1">
      <c r="C194" s="46" t="s">
        <v>234</v>
      </c>
      <c r="D194" s="4" t="s">
        <v>343</v>
      </c>
      <c r="E194" s="60" t="s">
        <v>344</v>
      </c>
      <c r="G194" s="59">
        <f>'土圧計算'!L16</f>
        <v>0.2982853290103143</v>
      </c>
    </row>
    <row r="195" spans="3:9" ht="18" customHeight="1">
      <c r="C195" s="46" t="s">
        <v>235</v>
      </c>
      <c r="D195" s="4" t="s">
        <v>345</v>
      </c>
      <c r="E195" s="64">
        <f>B</f>
        <v>2.5</v>
      </c>
      <c r="F195" s="17" t="s">
        <v>224</v>
      </c>
      <c r="G195" s="114" t="s">
        <v>346</v>
      </c>
      <c r="H195" s="64">
        <f>HA/3</f>
        <v>1.6666666666666667</v>
      </c>
      <c r="I195" s="17" t="s">
        <v>224</v>
      </c>
    </row>
    <row r="222" ht="18" customHeight="1">
      <c r="A222" s="111" t="s">
        <v>489</v>
      </c>
    </row>
    <row r="223" spans="3:19" ht="18" customHeight="1">
      <c r="C223" s="22" t="s">
        <v>160</v>
      </c>
      <c r="D223" s="4" t="s">
        <v>347</v>
      </c>
      <c r="E223" s="64">
        <f>qf</f>
        <v>0</v>
      </c>
      <c r="F223" s="17" t="s">
        <v>331</v>
      </c>
      <c r="S223" s="56"/>
    </row>
    <row r="224" spans="3:19" ht="18" customHeight="1">
      <c r="C224" s="22" t="s">
        <v>236</v>
      </c>
      <c r="D224" s="4" t="s">
        <v>348</v>
      </c>
      <c r="E224" s="64">
        <f>Lh</f>
        <v>1</v>
      </c>
      <c r="F224" s="17" t="s">
        <v>197</v>
      </c>
      <c r="S224" s="56"/>
    </row>
    <row r="225" spans="3:6" ht="18" customHeight="1">
      <c r="C225" s="22" t="s">
        <v>141</v>
      </c>
      <c r="D225" s="4" t="s">
        <v>349</v>
      </c>
      <c r="E225" s="64">
        <f>E224*E223</f>
        <v>0</v>
      </c>
      <c r="F225" s="17" t="s">
        <v>237</v>
      </c>
    </row>
    <row r="226" spans="3:22" ht="18" customHeight="1">
      <c r="C226" s="22" t="s">
        <v>238</v>
      </c>
      <c r="D226" s="4" t="s">
        <v>350</v>
      </c>
      <c r="E226" s="64">
        <f>E224/2+(bt+n*Hw+bo)</f>
        <v>2</v>
      </c>
      <c r="F226" s="17" t="s">
        <v>197</v>
      </c>
      <c r="U226" s="5"/>
      <c r="V226" s="56"/>
    </row>
    <row r="227" ht="18" customHeight="1">
      <c r="A227" s="111" t="s">
        <v>490</v>
      </c>
    </row>
    <row r="228" spans="3:7" ht="18" customHeight="1">
      <c r="C228" s="185" t="s">
        <v>452</v>
      </c>
      <c r="D228" s="186"/>
      <c r="E228" s="4" t="s">
        <v>351</v>
      </c>
      <c r="F228" s="64">
        <f>P/Lw</f>
        <v>0</v>
      </c>
      <c r="G228" s="17" t="s">
        <v>239</v>
      </c>
    </row>
    <row r="229" spans="3:7" ht="18" customHeight="1">
      <c r="C229" s="22" t="s">
        <v>240</v>
      </c>
      <c r="E229" s="4" t="s">
        <v>352</v>
      </c>
      <c r="F229" s="64">
        <f>H+hp</f>
        <v>5</v>
      </c>
      <c r="G229" s="17" t="s">
        <v>197</v>
      </c>
    </row>
    <row r="230" ht="18" customHeight="1">
      <c r="A230" s="111" t="s">
        <v>491</v>
      </c>
    </row>
    <row r="231" spans="1:17" ht="18" customHeight="1">
      <c r="A231" s="111"/>
      <c r="B231" s="177"/>
      <c r="C231" s="52" t="s">
        <v>241</v>
      </c>
      <c r="D231" s="52" t="s">
        <v>161</v>
      </c>
      <c r="E231" s="179" t="s">
        <v>242</v>
      </c>
      <c r="F231" s="180"/>
      <c r="G231" s="181" t="s">
        <v>304</v>
      </c>
      <c r="H231" s="182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8" customHeight="1">
      <c r="A232" s="111"/>
      <c r="B232" s="178"/>
      <c r="C232" s="36" t="s">
        <v>305</v>
      </c>
      <c r="D232" s="36" t="s">
        <v>306</v>
      </c>
      <c r="E232" s="37" t="s">
        <v>307</v>
      </c>
      <c r="F232" s="37" t="s">
        <v>308</v>
      </c>
      <c r="G232" s="37" t="s">
        <v>309</v>
      </c>
      <c r="H232" s="38" t="s">
        <v>310</v>
      </c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8" customHeight="1">
      <c r="A233" s="111"/>
      <c r="B233" s="53" t="s">
        <v>243</v>
      </c>
      <c r="C233" s="39">
        <f>E88</f>
        <v>175.76</v>
      </c>
      <c r="D233" s="39">
        <f>E89</f>
        <v>0</v>
      </c>
      <c r="E233" s="39">
        <f>E90</f>
        <v>1.6340464269458352</v>
      </c>
      <c r="F233" s="39">
        <f>H90</f>
        <v>2.3143491124260356</v>
      </c>
      <c r="G233" s="39">
        <f aca="true" t="shared" si="3" ref="G233:H235">C233*E233</f>
        <v>287.2</v>
      </c>
      <c r="H233" s="40">
        <f t="shared" si="3"/>
        <v>0</v>
      </c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8" customHeight="1">
      <c r="A234" s="111"/>
      <c r="B234" s="54" t="s">
        <v>244</v>
      </c>
      <c r="C234" s="41">
        <f>E225</f>
        <v>0</v>
      </c>
      <c r="D234" s="41">
        <v>0</v>
      </c>
      <c r="E234" s="41">
        <f>E226</f>
        <v>2</v>
      </c>
      <c r="F234" s="41">
        <v>0</v>
      </c>
      <c r="G234" s="41">
        <f t="shared" si="3"/>
        <v>0</v>
      </c>
      <c r="H234" s="29">
        <f t="shared" si="3"/>
        <v>0</v>
      </c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8" customHeight="1">
      <c r="A235" s="111"/>
      <c r="B235" s="54" t="s">
        <v>162</v>
      </c>
      <c r="C235" s="41">
        <f>PAV</f>
        <v>18.05434632102532</v>
      </c>
      <c r="D235" s="41">
        <f>PAH</f>
        <v>72.352775847544</v>
      </c>
      <c r="E235" s="41">
        <f>B</f>
        <v>2.5</v>
      </c>
      <c r="F235" s="41">
        <f>HA/3</f>
        <v>1.6666666666666667</v>
      </c>
      <c r="G235" s="41">
        <f t="shared" si="3"/>
        <v>45.1358658025633</v>
      </c>
      <c r="H235" s="29">
        <f t="shared" si="3"/>
        <v>120.58795974590666</v>
      </c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8" customHeight="1">
      <c r="A236" s="111"/>
      <c r="B236" s="55" t="s">
        <v>245</v>
      </c>
      <c r="C236" s="42">
        <v>0</v>
      </c>
      <c r="D236" s="42">
        <f>F228</f>
        <v>0</v>
      </c>
      <c r="E236" s="42">
        <v>0</v>
      </c>
      <c r="F236" s="42">
        <f>H+hp</f>
        <v>5</v>
      </c>
      <c r="G236" s="42">
        <f>C236*E236</f>
        <v>0</v>
      </c>
      <c r="H236" s="32">
        <f>D236*F236</f>
        <v>0</v>
      </c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8" customHeight="1">
      <c r="A237" s="111"/>
      <c r="B237" s="47" t="s">
        <v>246</v>
      </c>
      <c r="C237" s="43">
        <f>SUM(C233:C236)</f>
        <v>193.8143463210253</v>
      </c>
      <c r="D237" s="43">
        <f>SUM(D233:D236)</f>
        <v>72.352775847544</v>
      </c>
      <c r="E237" s="164" t="s">
        <v>471</v>
      </c>
      <c r="F237" s="164" t="s">
        <v>471</v>
      </c>
      <c r="G237" s="43">
        <f>SUM(G233:G236)</f>
        <v>332.33586580256326</v>
      </c>
      <c r="H237" s="44">
        <f>SUM(H233:H236)</f>
        <v>120.58795974590666</v>
      </c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8" customHeight="1">
      <c r="A238" s="111"/>
      <c r="B238" s="3"/>
      <c r="C238" s="46" t="s">
        <v>165</v>
      </c>
      <c r="D238" s="46" t="s">
        <v>311</v>
      </c>
      <c r="E238" s="64">
        <f>C237</f>
        <v>193.8143463210253</v>
      </c>
      <c r="F238" s="3" t="s">
        <v>247</v>
      </c>
      <c r="G238" s="3"/>
      <c r="H238" s="117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8" customHeight="1">
      <c r="A239" s="111"/>
      <c r="B239" s="3"/>
      <c r="C239" s="46" t="s">
        <v>161</v>
      </c>
      <c r="D239" s="46" t="s">
        <v>312</v>
      </c>
      <c r="E239" s="64">
        <f>D237</f>
        <v>72.352775847544</v>
      </c>
      <c r="F239" s="3" t="s">
        <v>248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18" customHeight="1">
      <c r="A240" s="111"/>
      <c r="B240" s="3"/>
      <c r="C240" s="3"/>
      <c r="D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8" ht="18" customHeight="1">
      <c r="A241" s="111"/>
      <c r="B241" s="3"/>
      <c r="C241" s="46" t="s">
        <v>249</v>
      </c>
      <c r="D241" s="3"/>
      <c r="F241" s="64">
        <f>(G237-H237)/E238</f>
        <v>1.0925295783106115</v>
      </c>
      <c r="G241" s="3" t="s">
        <v>93</v>
      </c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5"/>
    </row>
    <row r="242" spans="1:17" ht="18" customHeight="1">
      <c r="A242" s="111"/>
      <c r="B242" s="3"/>
      <c r="C242" s="3"/>
      <c r="D242" s="3"/>
      <c r="F242" s="12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8" customHeight="1">
      <c r="A243" s="111"/>
      <c r="B243" s="3"/>
      <c r="C243" s="46" t="s">
        <v>163</v>
      </c>
      <c r="D243" s="3"/>
      <c r="F243" s="64">
        <f>B/2-F241</f>
        <v>0.15747042168938852</v>
      </c>
      <c r="G243" s="3" t="s">
        <v>93</v>
      </c>
      <c r="H243" s="12" t="str">
        <f>IF(F243&lt;B/6,"&lt;","&gt;")</f>
        <v>&lt;</v>
      </c>
      <c r="I243" s="3" t="s">
        <v>250</v>
      </c>
      <c r="J243" s="3"/>
      <c r="K243" s="3"/>
      <c r="L243" s="3"/>
      <c r="M243" s="3"/>
      <c r="N243" s="3"/>
      <c r="O243" s="3"/>
      <c r="P243" s="3"/>
      <c r="Q243" s="3"/>
    </row>
    <row r="244" spans="1:17" ht="18" customHeight="1">
      <c r="A244" s="111"/>
      <c r="B244" s="3"/>
      <c r="C244" s="3"/>
      <c r="D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8" customHeight="1">
      <c r="A245" s="111"/>
      <c r="B245" s="3"/>
      <c r="C245" s="23" t="s">
        <v>251</v>
      </c>
      <c r="D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51" spans="7:17" ht="18" customHeight="1">
      <c r="G251" s="4" t="s">
        <v>313</v>
      </c>
      <c r="H251" s="63">
        <f>IF(ABS(e)&lt;=B/6,∑V/B*(1+6*e/B),IF(d&lt;B/3,2*∑V/3/d,0))</f>
        <v>106.82496429925017</v>
      </c>
      <c r="I251" s="3" t="s">
        <v>169</v>
      </c>
      <c r="J251" s="3"/>
      <c r="K251" s="3"/>
      <c r="L251" s="3"/>
      <c r="M251" s="3"/>
      <c r="N251" s="3"/>
      <c r="O251" s="3"/>
      <c r="P251" s="3"/>
      <c r="Q251" s="3"/>
    </row>
    <row r="252" spans="7:17" ht="18" customHeight="1">
      <c r="G252" s="4" t="s">
        <v>314</v>
      </c>
      <c r="H252" s="63">
        <f>IF(ABS(e)&lt;=B/6,∑V/B*(1-6*e/B),IF(d&lt;B/3,0,2*∑V/3/(B-d)))</f>
        <v>48.226512757570084</v>
      </c>
      <c r="I252" s="3" t="s">
        <v>169</v>
      </c>
      <c r="J252" s="3"/>
      <c r="K252" s="3"/>
      <c r="L252" s="3"/>
      <c r="M252" s="3"/>
      <c r="N252" s="3"/>
      <c r="O252" s="3"/>
      <c r="P252" s="3"/>
      <c r="Q252" s="3"/>
    </row>
    <row r="253" spans="7:17" ht="18" customHeight="1">
      <c r="G253" s="4" t="s">
        <v>315</v>
      </c>
      <c r="H253" s="63">
        <f>MAX(H251:H252)</f>
        <v>106.82496429925017</v>
      </c>
      <c r="I253" s="3" t="s">
        <v>169</v>
      </c>
      <c r="J253" s="3"/>
      <c r="K253" s="3"/>
      <c r="L253" s="3"/>
      <c r="M253" s="3"/>
      <c r="N253" s="3"/>
      <c r="O253" s="3"/>
      <c r="P253" s="3"/>
      <c r="Q253" s="3"/>
    </row>
    <row r="269" spans="1:17" ht="18" customHeight="1">
      <c r="A269" s="111" t="s">
        <v>492</v>
      </c>
      <c r="B269" s="5"/>
      <c r="C269" s="4"/>
      <c r="D269" s="45"/>
      <c r="F269" s="3"/>
      <c r="G269" s="5"/>
      <c r="H269" s="5"/>
      <c r="I269" s="45"/>
      <c r="J269" s="45"/>
      <c r="K269" s="45"/>
      <c r="L269" s="45"/>
      <c r="M269" s="45"/>
      <c r="N269" s="45"/>
      <c r="O269" s="45"/>
      <c r="P269" s="45"/>
      <c r="Q269" s="45"/>
    </row>
    <row r="270" spans="1:17" ht="18" customHeight="1">
      <c r="A270" s="111" t="s">
        <v>493</v>
      </c>
      <c r="B270" s="5"/>
      <c r="C270" s="4"/>
      <c r="D270" s="45"/>
      <c r="F270" s="3"/>
      <c r="G270" s="5"/>
      <c r="H270" s="5"/>
      <c r="I270" s="45"/>
      <c r="J270" s="45"/>
      <c r="K270" s="45"/>
      <c r="L270" s="45"/>
      <c r="M270" s="45"/>
      <c r="N270" s="45"/>
      <c r="O270" s="45"/>
      <c r="P270" s="45"/>
      <c r="Q270" s="45"/>
    </row>
    <row r="271" spans="1:17" ht="18" customHeight="1">
      <c r="A271" s="111"/>
      <c r="B271" s="60" t="str">
        <f>IF(P&gt;0,"自動車衝突時",IF(kH&gt;0,"地震時","常時"))</f>
        <v>常時</v>
      </c>
      <c r="C271" s="4"/>
      <c r="D271" s="45"/>
      <c r="F271" s="3"/>
      <c r="G271" s="5"/>
      <c r="H271" s="5"/>
      <c r="I271" s="45"/>
      <c r="J271" s="45"/>
      <c r="K271" s="45"/>
      <c r="L271" s="45"/>
      <c r="M271" s="45"/>
      <c r="N271" s="45"/>
      <c r="O271" s="45"/>
      <c r="P271" s="45"/>
      <c r="Q271" s="45"/>
    </row>
    <row r="272" spans="1:17" ht="18" customHeight="1">
      <c r="A272" s="111"/>
      <c r="B272" s="5"/>
      <c r="C272" s="4"/>
      <c r="D272" s="45"/>
      <c r="F272" s="3"/>
      <c r="G272" s="5"/>
      <c r="H272" s="5"/>
      <c r="I272" s="45"/>
      <c r="J272" s="45"/>
      <c r="K272" s="45"/>
      <c r="L272" s="45"/>
      <c r="M272" s="45"/>
      <c r="N272" s="45"/>
      <c r="O272" s="45"/>
      <c r="P272" s="45"/>
      <c r="Q272" s="45"/>
    </row>
    <row r="273" spans="1:17" ht="18" customHeight="1">
      <c r="A273" s="111" t="s">
        <v>494</v>
      </c>
      <c r="B273" s="3"/>
      <c r="C273" s="4"/>
      <c r="D273" s="45"/>
      <c r="F273" s="3"/>
      <c r="G273" s="5"/>
      <c r="H273" s="5"/>
      <c r="I273" s="45"/>
      <c r="J273" s="45"/>
      <c r="K273" s="45"/>
      <c r="L273" s="45"/>
      <c r="M273" s="45"/>
      <c r="N273" s="45"/>
      <c r="O273" s="45"/>
      <c r="P273" s="45"/>
      <c r="Q273" s="45"/>
    </row>
    <row r="274" spans="1:17" ht="18" customHeight="1">
      <c r="A274" s="111"/>
      <c r="B274" s="23" t="s">
        <v>164</v>
      </c>
      <c r="C274" s="4" t="s">
        <v>252</v>
      </c>
      <c r="D274" s="63">
        <f>B</f>
        <v>2.5</v>
      </c>
      <c r="E274" s="12" t="s">
        <v>253</v>
      </c>
      <c r="F274" s="46" t="s">
        <v>254</v>
      </c>
      <c r="G274" s="4" t="s">
        <v>255</v>
      </c>
      <c r="H274" s="64">
        <f>F243</f>
        <v>0.15747042168938852</v>
      </c>
      <c r="I274" s="45" t="s">
        <v>256</v>
      </c>
      <c r="J274" s="45"/>
      <c r="K274" s="45"/>
      <c r="L274" s="45"/>
      <c r="M274" s="45"/>
      <c r="N274" s="45"/>
      <c r="O274" s="45"/>
      <c r="P274" s="45"/>
      <c r="Q274" s="45"/>
    </row>
    <row r="275" spans="1:17" ht="18" customHeight="1">
      <c r="A275" s="111"/>
      <c r="B275" s="3"/>
      <c r="C275" s="5"/>
      <c r="D275" s="12"/>
      <c r="F275" s="3"/>
      <c r="G275" s="3"/>
      <c r="H275" s="4"/>
      <c r="I275" s="45"/>
      <c r="J275" s="45"/>
      <c r="K275" s="45"/>
      <c r="L275" s="45"/>
      <c r="M275" s="45"/>
      <c r="N275" s="45"/>
      <c r="O275" s="45"/>
      <c r="P275" s="45"/>
      <c r="Q275" s="45"/>
    </row>
    <row r="276" spans="1:17" ht="18" customHeight="1">
      <c r="A276" s="111"/>
      <c r="B276" s="23" t="s">
        <v>257</v>
      </c>
      <c r="C276" s="3"/>
      <c r="D276" s="63">
        <f>ROUND(B/ABS(2*H274),2)</f>
        <v>7.94</v>
      </c>
      <c r="E276" s="12" t="str">
        <f>IF(D276&gt;F276,"&gt;","&lt;")</f>
        <v>&gt;</v>
      </c>
      <c r="F276" s="63">
        <f>IF(P&gt;0,1.5,IF(kH&gt;0,1.5,3))</f>
        <v>3</v>
      </c>
      <c r="G276" s="3"/>
      <c r="H276" s="12" t="str">
        <f>IF(D276&gt;=F276,"SAFE","OUT")</f>
        <v>SAFE</v>
      </c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8" customHeight="1">
      <c r="A277" s="111"/>
      <c r="B277" s="3"/>
      <c r="C277" s="3"/>
      <c r="D277" s="35"/>
      <c r="F277" s="35"/>
      <c r="G277" s="3"/>
      <c r="H277" s="12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8" customHeight="1">
      <c r="A278" s="111" t="s">
        <v>495</v>
      </c>
      <c r="B278" s="4"/>
      <c r="C278" s="3"/>
      <c r="D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18" customHeight="1">
      <c r="A279" s="111"/>
      <c r="B279" s="46" t="s">
        <v>165</v>
      </c>
      <c r="C279" s="46" t="s">
        <v>316</v>
      </c>
      <c r="D279" s="63">
        <f>∑V</f>
        <v>193.8143463210253</v>
      </c>
      <c r="E279" s="60" t="s">
        <v>247</v>
      </c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18" customHeight="1">
      <c r="A280" s="111"/>
      <c r="B280" s="46" t="s">
        <v>161</v>
      </c>
      <c r="C280" s="46" t="s">
        <v>317</v>
      </c>
      <c r="D280" s="63">
        <f>∑H</f>
        <v>72.352775847544</v>
      </c>
      <c r="E280" s="60" t="s">
        <v>248</v>
      </c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18" customHeight="1">
      <c r="A281" s="111"/>
      <c r="B281" s="46" t="s">
        <v>258</v>
      </c>
      <c r="C281" s="46" t="s">
        <v>318</v>
      </c>
      <c r="D281" s="12">
        <f>μ</f>
        <v>0.6</v>
      </c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8" customHeight="1">
      <c r="A282" s="111"/>
      <c r="B282" s="23" t="s">
        <v>259</v>
      </c>
      <c r="C282" s="3"/>
      <c r="D282" s="4"/>
      <c r="E282" s="6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ht="18" customHeight="1">
      <c r="A283" s="111"/>
      <c r="B283" s="3"/>
      <c r="C283" s="23" t="s">
        <v>166</v>
      </c>
      <c r="D283" s="3"/>
      <c r="E283" s="65" t="s">
        <v>285</v>
      </c>
      <c r="F283" s="63">
        <f>Df</f>
        <v>1</v>
      </c>
      <c r="G283" s="3" t="s">
        <v>167</v>
      </c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18" customHeight="1">
      <c r="A284" s="111"/>
      <c r="B284" s="3"/>
      <c r="C284" s="23" t="s">
        <v>260</v>
      </c>
      <c r="D284" s="3"/>
      <c r="E284" s="66" t="s">
        <v>319</v>
      </c>
      <c r="F284" s="63">
        <f>γ1</f>
        <v>18</v>
      </c>
      <c r="G284" s="3" t="s">
        <v>320</v>
      </c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8" customHeight="1">
      <c r="A285" s="111"/>
      <c r="B285" s="3"/>
      <c r="C285" s="23" t="s">
        <v>261</v>
      </c>
      <c r="D285" s="4"/>
      <c r="E285" s="66" t="s">
        <v>321</v>
      </c>
      <c r="F285" s="63">
        <f>φ1d</f>
        <v>30</v>
      </c>
      <c r="G285" s="23" t="s">
        <v>178</v>
      </c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ht="18" customHeight="1">
      <c r="A286" s="111"/>
      <c r="B286" s="3"/>
      <c r="C286" s="23"/>
      <c r="D286" s="4"/>
      <c r="E286" s="66"/>
      <c r="F286" s="63"/>
      <c r="G286" s="2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18" customHeight="1">
      <c r="A287" s="111"/>
      <c r="B287" s="3"/>
      <c r="C287" s="23" t="s">
        <v>262</v>
      </c>
      <c r="D287" s="4"/>
      <c r="E287" s="6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ht="18" customHeight="1">
      <c r="A288" s="111"/>
      <c r="B288" s="3"/>
      <c r="C288" s="3"/>
      <c r="D288" s="5" t="s">
        <v>322</v>
      </c>
      <c r="E288" s="63"/>
      <c r="F288" s="3"/>
      <c r="G288" s="63">
        <f>(TAN(PI()/4+F285*PI()/180/2))^2</f>
        <v>2.9999999999999982</v>
      </c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ht="18" customHeight="1">
      <c r="A289" s="111"/>
      <c r="B289" s="3"/>
      <c r="C289" s="3"/>
      <c r="D289" s="4"/>
      <c r="E289" s="6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18" customHeight="1">
      <c r="A290" s="111"/>
      <c r="B290" s="3"/>
      <c r="C290" s="3"/>
      <c r="D290" s="4"/>
      <c r="E290" s="6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8" customHeight="1">
      <c r="A291" s="111"/>
      <c r="B291" s="3"/>
      <c r="C291" s="23" t="s">
        <v>263</v>
      </c>
      <c r="D291" s="4"/>
      <c r="E291" s="63"/>
      <c r="F291" s="3"/>
      <c r="G291" s="12">
        <f>0.5*F284*F283^2*G288</f>
        <v>26.999999999999986</v>
      </c>
      <c r="H291" s="3" t="s">
        <v>204</v>
      </c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8" customHeight="1">
      <c r="A292" s="111"/>
      <c r="B292" s="5"/>
      <c r="C292" s="5"/>
      <c r="D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8" customHeight="1">
      <c r="A293" s="111"/>
      <c r="B293" s="4"/>
      <c r="C293" s="3"/>
      <c r="D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ht="18" customHeight="1">
      <c r="A294" s="111"/>
      <c r="B294" s="23" t="s">
        <v>264</v>
      </c>
      <c r="C294" s="3"/>
      <c r="D294" s="3"/>
      <c r="E294" s="63">
        <f>ROUND((∑V*μ+G291*0.5)/∑H,2)</f>
        <v>1.79</v>
      </c>
      <c r="F294" s="12" t="str">
        <f>IF(E294&gt;G294,"&gt;","&lt;")</f>
        <v>&gt;</v>
      </c>
      <c r="G294" s="63">
        <f>IF(P&gt;0,1.2,IF(kH&gt;0,1.2,1.5))</f>
        <v>1.5</v>
      </c>
      <c r="H294" s="3"/>
      <c r="I294" s="12" t="str">
        <f>IF(E294&gt;=G294,"SAFE","OUT")</f>
        <v>SAFE</v>
      </c>
      <c r="J294" s="12"/>
      <c r="K294" s="12"/>
      <c r="L294" s="12"/>
      <c r="M294" s="12"/>
      <c r="N294" s="12"/>
      <c r="O294" s="12"/>
      <c r="P294" s="12"/>
      <c r="Q294" s="12"/>
    </row>
    <row r="295" spans="1:17" ht="18" customHeight="1">
      <c r="A295" s="111"/>
      <c r="B295" s="3"/>
      <c r="C295" s="4"/>
      <c r="D295" s="3"/>
      <c r="F295" s="3"/>
      <c r="G295" s="12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ht="18" customHeight="1">
      <c r="A296" s="111" t="s">
        <v>496</v>
      </c>
      <c r="B296" s="60"/>
      <c r="C296" s="4"/>
      <c r="D296" s="3"/>
      <c r="F296" s="3"/>
      <c r="G296" s="12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8" customHeight="1">
      <c r="A297" s="111"/>
      <c r="C297" s="46" t="s">
        <v>168</v>
      </c>
      <c r="D297" s="4" t="s">
        <v>282</v>
      </c>
      <c r="E297" s="62">
        <f>qd</f>
        <v>900</v>
      </c>
      <c r="F297" s="3" t="s">
        <v>283</v>
      </c>
      <c r="G297" s="12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8" customHeight="1">
      <c r="A298" s="111"/>
      <c r="C298" s="46" t="s">
        <v>265</v>
      </c>
      <c r="D298" s="4" t="s">
        <v>470</v>
      </c>
      <c r="E298" s="63">
        <f>H253</f>
        <v>106.82496429925017</v>
      </c>
      <c r="F298" s="3" t="s">
        <v>323</v>
      </c>
      <c r="G298" s="12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ht="18" customHeight="1">
      <c r="A299" s="111"/>
      <c r="B299" s="3"/>
      <c r="C299" s="4"/>
      <c r="D299" s="3"/>
      <c r="F299" s="3"/>
      <c r="G299" s="12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18" customHeight="1">
      <c r="A300" s="111"/>
      <c r="B300" s="46" t="s">
        <v>170</v>
      </c>
      <c r="C300" s="4"/>
      <c r="D300" s="3"/>
      <c r="E300" s="12">
        <f>ROUND(qd/E298,2)</f>
        <v>8.42</v>
      </c>
      <c r="F300" s="12" t="str">
        <f>IF(E300&gt;G300,"&gt;","&lt;")</f>
        <v>&gt;</v>
      </c>
      <c r="G300" s="63">
        <f>IF(P&gt;0,2,IF(kH&gt;0,2,3))</f>
        <v>3</v>
      </c>
      <c r="H300" s="3"/>
      <c r="I300" s="12" t="str">
        <f>IF(E300&gt;=G300,"SAFE","OUT")</f>
        <v>SAFE</v>
      </c>
      <c r="J300" s="12"/>
      <c r="K300" s="12"/>
      <c r="L300" s="12"/>
      <c r="M300" s="12"/>
      <c r="N300" s="12"/>
      <c r="O300" s="12"/>
      <c r="P300" s="12"/>
      <c r="Q300" s="12"/>
    </row>
    <row r="301" spans="1:17" ht="18" customHeight="1">
      <c r="A301" s="111"/>
      <c r="B301" s="3"/>
      <c r="C301" s="4"/>
      <c r="D301" s="3"/>
      <c r="F301" s="12"/>
      <c r="G301" s="35"/>
      <c r="H301" s="3"/>
      <c r="I301" s="12"/>
      <c r="J301" s="12"/>
      <c r="K301" s="12"/>
      <c r="L301" s="12"/>
      <c r="M301" s="12"/>
      <c r="N301" s="12"/>
      <c r="O301" s="12"/>
      <c r="P301" s="12"/>
      <c r="Q301" s="12"/>
    </row>
    <row r="302" spans="1:17" ht="18" customHeight="1">
      <c r="A302" s="111"/>
      <c r="B302" s="3"/>
      <c r="C302" s="4"/>
      <c r="D302" s="63"/>
      <c r="F302" s="3"/>
      <c r="G302" s="4"/>
      <c r="H302" s="6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18" customHeight="1">
      <c r="A303" s="111"/>
      <c r="B303" s="3"/>
      <c r="C303" s="4"/>
      <c r="D303" s="6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32" spans="24:26" ht="18" customHeight="1">
      <c r="X332" s="3"/>
      <c r="Y332" s="3"/>
      <c r="Z332" s="3"/>
    </row>
    <row r="333" spans="19:26" ht="18" customHeight="1">
      <c r="S333" s="3"/>
      <c r="X333" s="3"/>
      <c r="Y333" s="3"/>
      <c r="Z333" s="3"/>
    </row>
    <row r="334" spans="19:26" ht="18" customHeight="1">
      <c r="S334" s="3"/>
      <c r="T334" s="3"/>
      <c r="X334" s="3"/>
      <c r="Y334" s="3"/>
      <c r="Z334" s="3"/>
    </row>
    <row r="335" spans="19:20" ht="18" customHeight="1">
      <c r="S335" s="3"/>
      <c r="T335" s="3"/>
    </row>
    <row r="336" spans="18:20" ht="18" customHeight="1">
      <c r="R336" s="3"/>
      <c r="T336" s="3"/>
    </row>
    <row r="337" ht="18" customHeight="1">
      <c r="R337" s="3"/>
    </row>
    <row r="338" ht="18" customHeight="1">
      <c r="R338" s="3"/>
    </row>
    <row r="353" ht="18" customHeight="1">
      <c r="S353" s="3"/>
    </row>
    <row r="354" spans="19:20" ht="18" customHeight="1">
      <c r="S354" s="3"/>
      <c r="T354" s="3"/>
    </row>
    <row r="355" spans="19:20" ht="18" customHeight="1">
      <c r="S355" s="3"/>
      <c r="T355" s="3"/>
    </row>
    <row r="356" spans="18:20" ht="18" customHeight="1">
      <c r="R356" s="3"/>
      <c r="S356" s="3"/>
      <c r="T356" s="3"/>
    </row>
    <row r="357" spans="18:20" ht="18" customHeight="1">
      <c r="R357" s="3"/>
      <c r="S357" s="3"/>
      <c r="T357" s="3"/>
    </row>
    <row r="358" spans="18:20" ht="18" customHeight="1">
      <c r="R358" s="3"/>
      <c r="S358" s="3"/>
      <c r="T358" s="3"/>
    </row>
    <row r="359" spans="18:20" ht="18" customHeight="1">
      <c r="R359" s="3"/>
      <c r="S359" s="3"/>
      <c r="T359" s="3"/>
    </row>
    <row r="360" spans="18:20" ht="18" customHeight="1">
      <c r="R360" s="3"/>
      <c r="S360" s="3"/>
      <c r="T360" s="3"/>
    </row>
    <row r="361" spans="18:20" ht="18" customHeight="1">
      <c r="R361" s="3"/>
      <c r="S361" s="3"/>
      <c r="T361" s="3"/>
    </row>
    <row r="362" spans="18:20" ht="18" customHeight="1">
      <c r="R362" s="3"/>
      <c r="S362" s="3"/>
      <c r="T362" s="3"/>
    </row>
    <row r="363" spans="18:20" ht="18" customHeight="1">
      <c r="R363" s="3"/>
      <c r="S363" s="3"/>
      <c r="T363" s="3"/>
    </row>
    <row r="364" spans="18:20" ht="18" customHeight="1">
      <c r="R364" s="3"/>
      <c r="S364" s="3"/>
      <c r="T364" s="3"/>
    </row>
    <row r="365" spans="18:20" ht="18" customHeight="1">
      <c r="R365" s="3"/>
      <c r="S365" s="3"/>
      <c r="T365" s="3"/>
    </row>
    <row r="366" spans="18:20" ht="18" customHeight="1">
      <c r="R366" s="3"/>
      <c r="S366" s="3"/>
      <c r="T366" s="3"/>
    </row>
    <row r="367" spans="18:20" ht="18" customHeight="1">
      <c r="R367" s="3"/>
      <c r="S367" s="3"/>
      <c r="T367" s="3"/>
    </row>
    <row r="368" spans="18:20" ht="18" customHeight="1">
      <c r="R368" s="3"/>
      <c r="S368" s="3"/>
      <c r="T368" s="3"/>
    </row>
    <row r="369" spans="18:20" ht="18" customHeight="1">
      <c r="R369" s="3"/>
      <c r="S369" s="3"/>
      <c r="T369" s="3"/>
    </row>
    <row r="370" spans="18:20" ht="18" customHeight="1">
      <c r="R370" s="3"/>
      <c r="S370" s="3"/>
      <c r="T370" s="3"/>
    </row>
    <row r="371" spans="18:20" ht="18" customHeight="1">
      <c r="R371" s="3"/>
      <c r="S371" s="3"/>
      <c r="T371" s="3"/>
    </row>
    <row r="372" spans="18:20" ht="18" customHeight="1">
      <c r="R372" s="3"/>
      <c r="S372" s="3"/>
      <c r="T372" s="3"/>
    </row>
    <row r="373" spans="18:20" ht="18" customHeight="1">
      <c r="R373" s="3"/>
      <c r="S373" s="3"/>
      <c r="T373" s="3"/>
    </row>
    <row r="374" spans="18:20" ht="18" customHeight="1">
      <c r="R374" s="3"/>
      <c r="S374" s="3"/>
      <c r="T374" s="3"/>
    </row>
    <row r="375" spans="18:20" ht="18" customHeight="1">
      <c r="R375" s="3"/>
      <c r="S375" s="3"/>
      <c r="T375" s="3"/>
    </row>
    <row r="376" spans="18:20" ht="18" customHeight="1">
      <c r="R376" s="3"/>
      <c r="S376" s="3"/>
      <c r="T376" s="3"/>
    </row>
    <row r="377" spans="18:20" ht="18" customHeight="1">
      <c r="R377" s="3"/>
      <c r="S377" s="3"/>
      <c r="T377" s="3"/>
    </row>
    <row r="378" spans="18:20" ht="18" customHeight="1">
      <c r="R378" s="3"/>
      <c r="S378" s="3"/>
      <c r="T378" s="3"/>
    </row>
    <row r="379" spans="18:20" ht="18" customHeight="1">
      <c r="R379" s="3"/>
      <c r="S379" s="3"/>
      <c r="T379" s="3"/>
    </row>
    <row r="380" spans="18:20" ht="18" customHeight="1">
      <c r="R380" s="3"/>
      <c r="S380" s="3"/>
      <c r="T380" s="3"/>
    </row>
    <row r="381" spans="18:20" ht="18" customHeight="1">
      <c r="R381" s="3"/>
      <c r="S381" s="3"/>
      <c r="T381" s="3"/>
    </row>
    <row r="382" spans="18:20" ht="18" customHeight="1">
      <c r="R382" s="3"/>
      <c r="S382" s="3"/>
      <c r="T382" s="3"/>
    </row>
    <row r="383" spans="18:20" ht="18" customHeight="1">
      <c r="R383" s="3"/>
      <c r="S383" s="3"/>
      <c r="T383" s="3"/>
    </row>
    <row r="384" spans="18:20" ht="18" customHeight="1">
      <c r="R384" s="3"/>
      <c r="S384" s="3"/>
      <c r="T384" s="3"/>
    </row>
    <row r="385" spans="18:20" ht="18" customHeight="1">
      <c r="R385" s="3"/>
      <c r="S385" s="3"/>
      <c r="T385" s="3"/>
    </row>
    <row r="386" spans="18:20" ht="18" customHeight="1">
      <c r="R386" s="3"/>
      <c r="S386" s="3"/>
      <c r="T386" s="3"/>
    </row>
    <row r="387" spans="18:20" ht="18" customHeight="1">
      <c r="R387" s="3"/>
      <c r="S387" s="3"/>
      <c r="T387" s="3"/>
    </row>
    <row r="388" spans="18:20" ht="18" customHeight="1">
      <c r="R388" s="3"/>
      <c r="S388" s="3"/>
      <c r="T388" s="3"/>
    </row>
    <row r="389" spans="18:20" ht="18" customHeight="1">
      <c r="R389" s="3"/>
      <c r="S389" s="3"/>
      <c r="T389" s="3"/>
    </row>
    <row r="390" spans="18:20" ht="18" customHeight="1">
      <c r="R390" s="3"/>
      <c r="S390" s="3"/>
      <c r="T390" s="3"/>
    </row>
    <row r="391" spans="18:20" ht="18" customHeight="1">
      <c r="R391" s="3"/>
      <c r="S391" s="3"/>
      <c r="T391" s="3"/>
    </row>
    <row r="392" spans="18:20" ht="18" customHeight="1">
      <c r="R392" s="3"/>
      <c r="T392" s="3"/>
    </row>
    <row r="393" spans="18:20" ht="18" customHeight="1">
      <c r="R393" s="3"/>
      <c r="T393" s="3"/>
    </row>
    <row r="394" spans="18:20" ht="18" customHeight="1">
      <c r="R394" s="3"/>
      <c r="T394" s="3"/>
    </row>
    <row r="395" spans="18:20" ht="18" customHeight="1">
      <c r="R395" s="3"/>
      <c r="T395" s="3"/>
    </row>
    <row r="396" spans="18:20" ht="18" customHeight="1">
      <c r="R396" s="3"/>
      <c r="T396" s="3"/>
    </row>
    <row r="397" ht="18" customHeight="1">
      <c r="R397" s="3"/>
    </row>
    <row r="398" ht="18" customHeight="1">
      <c r="R398" s="3"/>
    </row>
    <row r="401" ht="18" customHeight="1">
      <c r="R401" s="3"/>
    </row>
    <row r="402" ht="18" customHeight="1">
      <c r="R402" s="3"/>
    </row>
    <row r="403" ht="18" customHeight="1">
      <c r="R403" s="3"/>
    </row>
    <row r="404" ht="18" customHeight="1">
      <c r="R404" s="3"/>
    </row>
    <row r="405" ht="18" customHeight="1">
      <c r="R405" s="3"/>
    </row>
    <row r="406" ht="18" customHeight="1">
      <c r="R406" s="3"/>
    </row>
    <row r="407" ht="18" customHeight="1">
      <c r="R407" s="3"/>
    </row>
    <row r="408" ht="18" customHeight="1">
      <c r="R408" s="3"/>
    </row>
    <row r="409" ht="18" customHeight="1">
      <c r="R409" s="3"/>
    </row>
    <row r="410" ht="18" customHeight="1">
      <c r="R410" s="3"/>
    </row>
    <row r="411" ht="18" customHeight="1">
      <c r="R411" s="3"/>
    </row>
    <row r="412" ht="18" customHeight="1">
      <c r="R412" s="3"/>
    </row>
    <row r="413" ht="18" customHeight="1">
      <c r="R413" s="3"/>
    </row>
    <row r="414" ht="18" customHeight="1">
      <c r="R414" s="3"/>
    </row>
    <row r="415" ht="18" customHeight="1">
      <c r="R415" s="3"/>
    </row>
    <row r="416" ht="18" customHeight="1">
      <c r="R416" s="3"/>
    </row>
    <row r="417" ht="18" customHeight="1">
      <c r="R417" s="3"/>
    </row>
    <row r="418" ht="18" customHeight="1">
      <c r="R418" s="3"/>
    </row>
    <row r="419" ht="18" customHeight="1">
      <c r="R419" s="3"/>
    </row>
    <row r="420" ht="18" customHeight="1">
      <c r="R420" s="3"/>
    </row>
    <row r="421" ht="18" customHeight="1">
      <c r="R421" s="3"/>
    </row>
    <row r="422" ht="18" customHeight="1">
      <c r="R422" s="3"/>
    </row>
    <row r="423" ht="18" customHeight="1">
      <c r="R423" s="3"/>
    </row>
    <row r="424" ht="18" customHeight="1">
      <c r="R424" s="3"/>
    </row>
    <row r="425" ht="18" customHeight="1">
      <c r="R425" s="3"/>
    </row>
    <row r="426" ht="18" customHeight="1">
      <c r="R426" s="3"/>
    </row>
    <row r="427" ht="18" customHeight="1">
      <c r="R427" s="3"/>
    </row>
    <row r="428" ht="18" customHeight="1">
      <c r="R428" s="3"/>
    </row>
    <row r="429" ht="18" customHeight="1">
      <c r="R429" s="3"/>
    </row>
    <row r="430" ht="18" customHeight="1">
      <c r="R430" s="3"/>
    </row>
    <row r="431" ht="18" customHeight="1">
      <c r="R431" s="3"/>
    </row>
    <row r="432" ht="18" customHeight="1">
      <c r="R432" s="3"/>
    </row>
    <row r="433" ht="18" customHeight="1">
      <c r="R433" s="3"/>
    </row>
    <row r="434" ht="18" customHeight="1">
      <c r="R434" s="3"/>
    </row>
    <row r="435" ht="18" customHeight="1">
      <c r="R435" s="3"/>
    </row>
    <row r="436" ht="18" customHeight="1">
      <c r="R436" s="3"/>
    </row>
    <row r="437" ht="18" customHeight="1">
      <c r="R437" s="3"/>
    </row>
    <row r="438" ht="18" customHeight="1">
      <c r="R438" s="3"/>
    </row>
    <row r="439" ht="18" customHeight="1">
      <c r="R439" s="3"/>
    </row>
    <row r="440" ht="18" customHeight="1">
      <c r="R440" s="3"/>
    </row>
    <row r="441" ht="18" customHeight="1">
      <c r="R441" s="3"/>
    </row>
    <row r="442" ht="18" customHeight="1">
      <c r="R442" s="3"/>
    </row>
    <row r="443" ht="18" customHeight="1">
      <c r="R443" s="3"/>
    </row>
    <row r="444" ht="18" customHeight="1">
      <c r="R444" s="3"/>
    </row>
    <row r="445" ht="18" customHeight="1">
      <c r="R445" s="3"/>
    </row>
    <row r="446" ht="18" customHeight="1">
      <c r="R446" s="3"/>
    </row>
    <row r="447" ht="18" customHeight="1">
      <c r="R447" s="3"/>
    </row>
    <row r="448" ht="18" customHeight="1">
      <c r="R448" s="3"/>
    </row>
    <row r="449" ht="18" customHeight="1">
      <c r="R449" s="3"/>
    </row>
    <row r="450" ht="18" customHeight="1">
      <c r="R450" s="3"/>
    </row>
    <row r="451" ht="18" customHeight="1">
      <c r="R451" s="3"/>
    </row>
    <row r="452" ht="18" customHeight="1">
      <c r="R452" s="3"/>
    </row>
    <row r="453" ht="18" customHeight="1">
      <c r="R453" s="3"/>
    </row>
    <row r="454" ht="18" customHeight="1">
      <c r="R454" s="3"/>
    </row>
    <row r="455" ht="18" customHeight="1">
      <c r="R455" s="3"/>
    </row>
    <row r="456" ht="18" customHeight="1">
      <c r="R456" s="3"/>
    </row>
    <row r="457" ht="18" customHeight="1">
      <c r="R457" s="3"/>
    </row>
    <row r="458" ht="18" customHeight="1">
      <c r="R458" s="3"/>
    </row>
    <row r="459" ht="18" customHeight="1">
      <c r="R459" s="3"/>
    </row>
    <row r="460" ht="18" customHeight="1">
      <c r="R460" s="3"/>
    </row>
    <row r="461" ht="18" customHeight="1">
      <c r="R461" s="3"/>
    </row>
    <row r="462" ht="18" customHeight="1">
      <c r="R462" s="3"/>
    </row>
    <row r="463" ht="18" customHeight="1">
      <c r="R463" s="3"/>
    </row>
    <row r="464" ht="18" customHeight="1">
      <c r="R464" s="3"/>
    </row>
    <row r="465" ht="18" customHeight="1">
      <c r="R465" s="3"/>
    </row>
    <row r="466" ht="18" customHeight="1">
      <c r="R466" s="3"/>
    </row>
    <row r="467" ht="18" customHeight="1">
      <c r="R467" s="3"/>
    </row>
  </sheetData>
  <sheetProtection sheet="1" objects="1" scenarios="1"/>
  <mergeCells count="8">
    <mergeCell ref="A74:A75"/>
    <mergeCell ref="B74:C74"/>
    <mergeCell ref="F74:G74"/>
    <mergeCell ref="B231:B232"/>
    <mergeCell ref="E231:F231"/>
    <mergeCell ref="G231:H231"/>
    <mergeCell ref="H74:I74"/>
    <mergeCell ref="C228:D228"/>
  </mergeCells>
  <printOptions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r:id="rId2"/>
  <headerFooter alignWithMargins="0">
    <oddHeader>&amp;C&amp;9逆Ｔ型擁壁２</oddHeader>
    <oddFooter>&amp;C&amp;P</oddFooter>
  </headerFooter>
  <rowBreaks count="5" manualBreakCount="5">
    <brk id="37" max="8" man="1"/>
    <brk id="72" max="8" man="1"/>
    <brk id="110" max="8" man="1"/>
    <brk id="144" max="8" man="1"/>
    <brk id="18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逆Ｔ型擁壁２</dc:title>
  <dc:subject/>
  <dc:creator>右城　猛</dc:creator>
  <cp:keywords/>
  <dc:description/>
  <cp:lastModifiedBy> </cp:lastModifiedBy>
  <cp:lastPrinted>2004-07-24T00:30:07Z</cp:lastPrinted>
  <dcterms:created xsi:type="dcterms:W3CDTF">2000-04-23T05:15:51Z</dcterms:created>
  <dcterms:modified xsi:type="dcterms:W3CDTF">2004-09-13T01:28:44Z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