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70" yWindow="65341" windowWidth="9540" windowHeight="12945" activeTab="0"/>
  </bookViews>
  <sheets>
    <sheet name="入力画面" sheetId="1" r:id="rId1"/>
    <sheet name="出力" sheetId="2" r:id="rId2"/>
    <sheet name="壁面土圧" sheetId="3" state="hidden" r:id="rId3"/>
    <sheet name="改良くさび法" sheetId="4" state="hidden" r:id="rId4"/>
    <sheet name="データ" sheetId="5" state="hidden" r:id="rId5"/>
  </sheets>
  <definedNames>
    <definedName name="_xlnm.Print_Area" localSheetId="1">'出力'!$A$1:$I$796</definedName>
    <definedName name="solver_adj" localSheetId="3" hidden="1">'改良くさび法'!$C$602:$D$602</definedName>
    <definedName name="solver_cvg" localSheetId="3" hidden="1">0.001</definedName>
    <definedName name="solver_drv" localSheetId="3" hidden="1">1</definedName>
    <definedName name="solver_est" localSheetId="3" hidden="1">1</definedName>
    <definedName name="solver_itr" localSheetId="3" hidden="1">100</definedName>
    <definedName name="solver_lin" localSheetId="3" hidden="1">2</definedName>
    <definedName name="solver_neg" localSheetId="3" hidden="1">2</definedName>
    <definedName name="solver_num" localSheetId="3" hidden="1">0</definedName>
    <definedName name="solver_nwt" localSheetId="3" hidden="1">1</definedName>
    <definedName name="solver_opt" localSheetId="3" hidden="1">'改良くさび法'!$B$602</definedName>
    <definedName name="solver_pre" localSheetId="3" hidden="1">0.000001</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1</definedName>
    <definedName name="solver_val" localSheetId="3" hidden="1">0</definedName>
  </definedNames>
  <calcPr fullCalcOnLoad="1"/>
</workbook>
</file>

<file path=xl/sharedStrings.xml><?xml version="1.0" encoding="utf-8"?>
<sst xmlns="http://schemas.openxmlformats.org/spreadsheetml/2006/main" count="1177" uniqueCount="673">
  <si>
    <t>H</t>
  </si>
  <si>
    <t>H1</t>
  </si>
  <si>
    <t>H2</t>
  </si>
  <si>
    <t>H3</t>
  </si>
  <si>
    <t>H4</t>
  </si>
  <si>
    <t>H0</t>
  </si>
  <si>
    <t>B</t>
  </si>
  <si>
    <t>B1</t>
  </si>
  <si>
    <t>B2</t>
  </si>
  <si>
    <t>B3</t>
  </si>
  <si>
    <t>B4</t>
  </si>
  <si>
    <t>tw</t>
  </si>
  <si>
    <t>th</t>
  </si>
  <si>
    <t>鉄筋</t>
  </si>
  <si>
    <t>H=</t>
  </si>
  <si>
    <t>H1=</t>
  </si>
  <si>
    <t>B=</t>
  </si>
  <si>
    <t>B1=</t>
  </si>
  <si>
    <t>tw=</t>
  </si>
  <si>
    <t>th=</t>
  </si>
  <si>
    <t>壁体鉄筋</t>
  </si>
  <si>
    <t>底版鉄筋</t>
  </si>
  <si>
    <t>mm</t>
  </si>
  <si>
    <t>コンクリート</t>
  </si>
  <si>
    <t>σck</t>
  </si>
  <si>
    <t>RCの単重</t>
  </si>
  <si>
    <t>γc</t>
  </si>
  <si>
    <t>N/mm2</t>
  </si>
  <si>
    <t>kN/m3</t>
  </si>
  <si>
    <t>kN/m3</t>
  </si>
  <si>
    <t>σca</t>
  </si>
  <si>
    <t>τca</t>
  </si>
  <si>
    <t>σsa</t>
  </si>
  <si>
    <t>盛土条件</t>
  </si>
  <si>
    <t>小段幅</t>
  </si>
  <si>
    <t>s</t>
  </si>
  <si>
    <t>m</t>
  </si>
  <si>
    <t>m</t>
  </si>
  <si>
    <t>土羽勾配</t>
  </si>
  <si>
    <t>n</t>
  </si>
  <si>
    <t>単位重量</t>
  </si>
  <si>
    <t>単位重量</t>
  </si>
  <si>
    <t>γ</t>
  </si>
  <si>
    <t>内部摩擦角</t>
  </si>
  <si>
    <t>φ</t>
  </si>
  <si>
    <t>度</t>
  </si>
  <si>
    <t>度</t>
  </si>
  <si>
    <t>支持地盤</t>
  </si>
  <si>
    <t>摩擦係数</t>
  </si>
  <si>
    <t>μ</t>
  </si>
  <si>
    <t>許容支持力</t>
  </si>
  <si>
    <t>qa</t>
  </si>
  <si>
    <t>kN/m2</t>
  </si>
  <si>
    <t>kN/m2</t>
  </si>
  <si>
    <t>根入地盤</t>
  </si>
  <si>
    <t>根入地盤</t>
  </si>
  <si>
    <t>根入深さ</t>
  </si>
  <si>
    <t>根入深さ</t>
  </si>
  <si>
    <t>Df</t>
  </si>
  <si>
    <t>受働土圧有効係数</t>
  </si>
  <si>
    <t>受働土圧有効係数</t>
  </si>
  <si>
    <t>δ</t>
  </si>
  <si>
    <t>粘着力</t>
  </si>
  <si>
    <t>粘着力</t>
  </si>
  <si>
    <t>c</t>
  </si>
  <si>
    <t>積載荷重</t>
  </si>
  <si>
    <t>q</t>
  </si>
  <si>
    <t>防護柵</t>
  </si>
  <si>
    <t>防護柵</t>
  </si>
  <si>
    <t>kN/m</t>
  </si>
  <si>
    <t>kN/m</t>
  </si>
  <si>
    <t>m</t>
  </si>
  <si>
    <t>作用高さ</t>
  </si>
  <si>
    <t>作用高さ</t>
  </si>
  <si>
    <t xml:space="preserve"> h</t>
  </si>
  <si>
    <t>PH</t>
  </si>
  <si>
    <t>PV</t>
  </si>
  <si>
    <t>水平力</t>
  </si>
  <si>
    <t>鉛直力</t>
  </si>
  <si>
    <t>鉛直力</t>
  </si>
  <si>
    <t>水平荷重</t>
  </si>
  <si>
    <t>水平荷重</t>
  </si>
  <si>
    <t>鉛直荷重</t>
  </si>
  <si>
    <t>鉛直荷重</t>
  </si>
  <si>
    <t>主働土圧</t>
  </si>
  <si>
    <t>土圧分布</t>
  </si>
  <si>
    <t>三角形分布(道路土工指針)</t>
  </si>
  <si>
    <t>台形分布(一般)</t>
  </si>
  <si>
    <t>仮想背面の壁面摩擦角</t>
  </si>
  <si>
    <t>改良試行くさび法</t>
  </si>
  <si>
    <t>道路土工指針の方法</t>
  </si>
  <si>
    <t>道路橋示方書の方法</t>
  </si>
  <si>
    <t>たて壁の壁面摩擦角</t>
  </si>
  <si>
    <t>たて壁の壁面摩擦角</t>
  </si>
  <si>
    <t>仮想背面壁面摩擦角</t>
  </si>
  <si>
    <t>仮想背面壁面摩擦角</t>
  </si>
  <si>
    <t>擁壁高さ</t>
  </si>
  <si>
    <t>底版幅</t>
  </si>
  <si>
    <t>天端厚さ</t>
  </si>
  <si>
    <t>かかと厚さ</t>
  </si>
  <si>
    <t>鉄筋材質</t>
  </si>
  <si>
    <t>SD295A</t>
  </si>
  <si>
    <t>SD345</t>
  </si>
  <si>
    <t>D6</t>
  </si>
  <si>
    <t>D10</t>
  </si>
  <si>
    <t>D13</t>
  </si>
  <si>
    <t>D16</t>
  </si>
  <si>
    <t>D19</t>
  </si>
  <si>
    <t>D22</t>
  </si>
  <si>
    <t>D25</t>
  </si>
  <si>
    <t>D29</t>
  </si>
  <si>
    <t>D32</t>
  </si>
  <si>
    <t>たて壁の鉄筋</t>
  </si>
  <si>
    <t>底版の鉄筋</t>
  </si>
  <si>
    <t>x</t>
  </si>
  <si>
    <t>擁壁</t>
  </si>
  <si>
    <t>嵩上げ高</t>
  </si>
  <si>
    <t>盛土</t>
  </si>
  <si>
    <t>前面地盤</t>
  </si>
  <si>
    <t>鉛直推力</t>
  </si>
  <si>
    <t>水平推力</t>
  </si>
  <si>
    <t>縮尺</t>
  </si>
  <si>
    <t>１．設計条件</t>
  </si>
  <si>
    <t>使用鉄筋</t>
  </si>
  <si>
    <t>材質</t>
  </si>
  <si>
    <t>コンクリート</t>
  </si>
  <si>
    <t>許容応力度</t>
  </si>
  <si>
    <t>H2=</t>
  </si>
  <si>
    <t>H3=</t>
  </si>
  <si>
    <t>H4=</t>
  </si>
  <si>
    <t>B2=</t>
  </si>
  <si>
    <t>B3=</t>
  </si>
  <si>
    <t>B4=</t>
  </si>
  <si>
    <t>設計基準強度 σck=</t>
  </si>
  <si>
    <t>単位体積重量　γc=</t>
  </si>
  <si>
    <t>鉄筋中心までのかぶり  iw=</t>
  </si>
  <si>
    <t>mm</t>
  </si>
  <si>
    <t>σca=</t>
  </si>
  <si>
    <t>τca=</t>
  </si>
  <si>
    <t>σsa=</t>
  </si>
  <si>
    <t>s=</t>
  </si>
  <si>
    <t>H0=</t>
  </si>
  <si>
    <t>n=</t>
  </si>
  <si>
    <t>γ=</t>
  </si>
  <si>
    <t>φ=</t>
  </si>
  <si>
    <t>qa=</t>
  </si>
  <si>
    <t>Df=</t>
  </si>
  <si>
    <t>c=</t>
  </si>
  <si>
    <t>許容支持力度</t>
  </si>
  <si>
    <t>μ=</t>
  </si>
  <si>
    <t>内部摩擦角</t>
  </si>
  <si>
    <t>q=</t>
  </si>
  <si>
    <t xml:space="preserve"> h=</t>
  </si>
  <si>
    <t>PH=</t>
  </si>
  <si>
    <t>PV=</t>
  </si>
  <si>
    <t>δ=</t>
  </si>
  <si>
    <t>度</t>
  </si>
  <si>
    <t>２．荷重の算定</t>
  </si>
  <si>
    <t>　擁壁の断面積，重心位置の計算は，下記に示す座標値法で算出する．</t>
  </si>
  <si>
    <t>No.</t>
  </si>
  <si>
    <t>x(m)</t>
  </si>
  <si>
    <t>x(m)</t>
  </si>
  <si>
    <t>y(m)</t>
  </si>
  <si>
    <t>y(m)</t>
  </si>
  <si>
    <t>A(m2)</t>
  </si>
  <si>
    <t>Gy(m3)</t>
  </si>
  <si>
    <t>Gx(m3)</t>
  </si>
  <si>
    <t>Σ</t>
  </si>
  <si>
    <t>重量</t>
  </si>
  <si>
    <t>重心</t>
  </si>
  <si>
    <t>－</t>
  </si>
  <si>
    <t>Wc=</t>
  </si>
  <si>
    <t>xc=</t>
  </si>
  <si>
    <t>yc=</t>
  </si>
  <si>
    <t>Ws=</t>
  </si>
  <si>
    <t>xs=</t>
  </si>
  <si>
    <t>ys=</t>
  </si>
  <si>
    <t>載荷重</t>
  </si>
  <si>
    <t>載荷方法</t>
  </si>
  <si>
    <t>積載荷重の裁可方法</t>
  </si>
  <si>
    <t>全体載荷</t>
  </si>
  <si>
    <t>仮想背面後方載荷</t>
  </si>
  <si>
    <t>地表面載荷</t>
  </si>
  <si>
    <t>載荷方法</t>
  </si>
  <si>
    <t>載荷幅</t>
  </si>
  <si>
    <t>作用位置</t>
  </si>
  <si>
    <t>Bq=</t>
  </si>
  <si>
    <t>載荷重</t>
  </si>
  <si>
    <t>Vq=</t>
  </si>
  <si>
    <t>xq=</t>
  </si>
  <si>
    <t>（１）土圧合力の傾斜角(壁面摩擦角)</t>
  </si>
  <si>
    <t>δ=β(地表面傾斜角)</t>
  </si>
  <si>
    <t>δ=φ(内部摩擦角)</t>
  </si>
  <si>
    <t>指定</t>
  </si>
  <si>
    <t>その他</t>
  </si>
  <si>
    <t>理論解</t>
  </si>
  <si>
    <t>δの求め方</t>
  </si>
  <si>
    <t>δ(度)</t>
  </si>
  <si>
    <t>仮想背面の土圧傾斜角は式(1)で求める。</t>
  </si>
  <si>
    <t>W1は載荷重を含む土塊adeの重量，W2は載荷重を含む土塊abcdの重量である。</t>
  </si>
  <si>
    <t>ω1，ω2は式(3)の条件を満たすものとする。</t>
  </si>
  <si>
    <t>■改良試行くさび法によるδの計算</t>
  </si>
  <si>
    <t>仮想背面より後方の盛土面が水平であるのでδ=0となる。</t>
  </si>
  <si>
    <t>■試行くさび法によるδ</t>
  </si>
  <si>
    <t>（３）主働土圧係数</t>
  </si>
  <si>
    <t>（２）主働すべり角</t>
  </si>
  <si>
    <t>（４）主働土圧合力</t>
  </si>
  <si>
    <t>δ=</t>
  </si>
  <si>
    <t>計算法</t>
  </si>
  <si>
    <t>rad</t>
  </si>
  <si>
    <t>ω1=</t>
  </si>
  <si>
    <t>KA=</t>
  </si>
  <si>
    <t>kN/m3</t>
  </si>
  <si>
    <t>kN/m2</t>
  </si>
  <si>
    <t>PA=</t>
  </si>
  <si>
    <t xml:space="preserve"> kN/m</t>
  </si>
  <si>
    <t>鉛直成分</t>
  </si>
  <si>
    <t>PAV=</t>
  </si>
  <si>
    <t>PAH=</t>
  </si>
  <si>
    <t>水平成分</t>
  </si>
  <si>
    <t>（５）主働土圧合力の作用点</t>
  </si>
  <si>
    <t xml:space="preserve">  m</t>
  </si>
  <si>
    <t>yA=</t>
  </si>
  <si>
    <t>積載荷重があるときの土圧分布は台形とする。</t>
  </si>
  <si>
    <t>積載荷重があっても土圧分布は道路土工指針に準拠して三角形とする。</t>
  </si>
  <si>
    <t>分布</t>
  </si>
  <si>
    <t>HA=</t>
  </si>
  <si>
    <t xml:space="preserve"> m</t>
  </si>
  <si>
    <t>V(kN/m)</t>
  </si>
  <si>
    <t>H(kN/m)</t>
  </si>
  <si>
    <t>荷重の作用位置</t>
  </si>
  <si>
    <t>V･x</t>
  </si>
  <si>
    <t>H･y</t>
  </si>
  <si>
    <t>モーメント(kN･m/m)</t>
  </si>
  <si>
    <t>自　重</t>
  </si>
  <si>
    <t>∑</t>
  </si>
  <si>
    <t>上載土砂</t>
  </si>
  <si>
    <t>積載荷重</t>
  </si>
  <si>
    <t>主働土圧</t>
  </si>
  <si>
    <t>防護柵</t>
  </si>
  <si>
    <t>水平力</t>
  </si>
  <si>
    <t>ΣV=</t>
  </si>
  <si>
    <t>ΣH=</t>
  </si>
  <si>
    <t>ΣM=</t>
  </si>
  <si>
    <t>モーメント</t>
  </si>
  <si>
    <t>　２．６　つま先位置での荷重の集計</t>
  </si>
  <si>
    <t>kNm/m</t>
  </si>
  <si>
    <t>偏心量</t>
  </si>
  <si>
    <t>e=</t>
  </si>
  <si>
    <t>３．剛体的安定性の検討</t>
  </si>
  <si>
    <t>３．１　転倒に対する検討</t>
  </si>
  <si>
    <t>ea=</t>
  </si>
  <si>
    <t>安全率</t>
  </si>
  <si>
    <t>Fs=</t>
  </si>
  <si>
    <t>３．２　滑動に対する検討</t>
  </si>
  <si>
    <t>摩擦係数</t>
  </si>
  <si>
    <t>゜</t>
  </si>
  <si>
    <t>受働土圧</t>
  </si>
  <si>
    <t>KP=</t>
  </si>
  <si>
    <t>PP=</t>
  </si>
  <si>
    <t>３．３　地盤支持力に対する検討</t>
  </si>
  <si>
    <t>荷重の合力が底面の核内にあるので地盤反力は台形分布する。</t>
  </si>
  <si>
    <t>荷重の合力が底面の核外にあるので地盤反力は三角形分布する。</t>
  </si>
  <si>
    <t>d=</t>
  </si>
  <si>
    <t>q1=ΣV/B(1+6e/B)</t>
  </si>
  <si>
    <t>q2=ΣV/B(1-6e/B)</t>
  </si>
  <si>
    <t>q2=0</t>
  </si>
  <si>
    <t>q1=2ΣV/(3d)</t>
  </si>
  <si>
    <t>つま先から荷重合力位置までの距離</t>
  </si>
  <si>
    <t>最大地盤反力度</t>
  </si>
  <si>
    <t>qmax=</t>
  </si>
  <si>
    <t xml:space="preserve">  ゜</t>
  </si>
  <si>
    <t>４．応力度の検討</t>
  </si>
  <si>
    <t>４．１　たて壁</t>
  </si>
  <si>
    <t>４．２　底版</t>
  </si>
  <si>
    <t>Wc=</t>
  </si>
  <si>
    <t>kN/m</t>
  </si>
  <si>
    <t>xc=</t>
  </si>
  <si>
    <t>Ws=</t>
  </si>
  <si>
    <t>xs=</t>
  </si>
  <si>
    <t>作用位置</t>
  </si>
  <si>
    <t>土圧の鉛直成分</t>
  </si>
  <si>
    <t>作用位置</t>
  </si>
  <si>
    <t>PAV=</t>
  </si>
  <si>
    <t>xA=</t>
  </si>
  <si>
    <t>載荷幅</t>
  </si>
  <si>
    <t>b=</t>
  </si>
  <si>
    <t xml:space="preserve">b = </t>
  </si>
  <si>
    <t>積載荷重</t>
  </si>
  <si>
    <t>Vq=</t>
  </si>
  <si>
    <t xml:space="preserve">l= </t>
  </si>
  <si>
    <t xml:space="preserve"> m</t>
  </si>
  <si>
    <t>q1=</t>
  </si>
  <si>
    <t>q2=</t>
  </si>
  <si>
    <t>q3=</t>
  </si>
  <si>
    <t>B=</t>
  </si>
  <si>
    <t>QV=</t>
  </si>
  <si>
    <t>地盤反力度</t>
  </si>
  <si>
    <t>地盤反力</t>
  </si>
  <si>
    <t>（１） 荷　重</t>
  </si>
  <si>
    <t>a) かかと版の自重</t>
  </si>
  <si>
    <t>b）かかと版上の土砂の重量</t>
  </si>
  <si>
    <t>c）仮想背面に作用する土圧の鉛直成分</t>
  </si>
  <si>
    <t>d）積載荷重</t>
  </si>
  <si>
    <t>e）地盤反力</t>
  </si>
  <si>
    <t>（２）断面力</t>
  </si>
  <si>
    <t>せん断力</t>
  </si>
  <si>
    <t>曲げモーメント</t>
  </si>
  <si>
    <t>自　　重</t>
  </si>
  <si>
    <t>土　　砂</t>
  </si>
  <si>
    <t>土　　圧</t>
  </si>
  <si>
    <t>積載荷重</t>
  </si>
  <si>
    <t>地盤反力</t>
  </si>
  <si>
    <t>V(kN/m)</t>
  </si>
  <si>
    <t>x(m)</t>
  </si>
  <si>
    <t>V・x</t>
  </si>
  <si>
    <t>∑</t>
  </si>
  <si>
    <t>－</t>
  </si>
  <si>
    <t>S=</t>
  </si>
  <si>
    <t>M=</t>
  </si>
  <si>
    <t>kN/m</t>
  </si>
  <si>
    <t>kNm/m</t>
  </si>
  <si>
    <t>（３）応力度</t>
  </si>
  <si>
    <t>部材厚さ</t>
  </si>
  <si>
    <t>h=</t>
  </si>
  <si>
    <t>有効幅</t>
  </si>
  <si>
    <t>有効高</t>
  </si>
  <si>
    <t>d=</t>
  </si>
  <si>
    <t>公称断面積</t>
  </si>
  <si>
    <t>As0=</t>
  </si>
  <si>
    <t>鉄筋間隔</t>
  </si>
  <si>
    <t>s=</t>
  </si>
  <si>
    <t>鉄筋量</t>
  </si>
  <si>
    <t>iw=</t>
  </si>
  <si>
    <t>中心かぶり</t>
  </si>
  <si>
    <t>鉄筋呼び名</t>
  </si>
  <si>
    <t>mm2</t>
  </si>
  <si>
    <t>As=</t>
  </si>
  <si>
    <t>ヤング係数比</t>
  </si>
  <si>
    <t>n=Es/Ec=15</t>
  </si>
  <si>
    <t>鉄筋比</t>
  </si>
  <si>
    <t>np=</t>
  </si>
  <si>
    <t>係数</t>
  </si>
  <si>
    <t>k=</t>
  </si>
  <si>
    <t>j=</t>
  </si>
  <si>
    <t>コンクリートの曲げ圧縮応力度</t>
  </si>
  <si>
    <t>σc=</t>
  </si>
  <si>
    <t>鉄筋の引張応力度</t>
  </si>
  <si>
    <t>σs=</t>
  </si>
  <si>
    <t>コンクリートの平均せん断応力度</t>
  </si>
  <si>
    <t>τc=</t>
  </si>
  <si>
    <t>土羽尻</t>
  </si>
  <si>
    <t>土羽肩</t>
  </si>
  <si>
    <t>x</t>
  </si>
  <si>
    <t>y</t>
  </si>
  <si>
    <t>壁付け根</t>
  </si>
  <si>
    <t>Δx</t>
  </si>
  <si>
    <t>Δy</t>
  </si>
  <si>
    <t>ω(rad)</t>
  </si>
  <si>
    <t>ω(deg)</t>
  </si>
  <si>
    <t>面積abcdの計算</t>
  </si>
  <si>
    <t>a</t>
  </si>
  <si>
    <t>b</t>
  </si>
  <si>
    <t>d</t>
  </si>
  <si>
    <t>A</t>
  </si>
  <si>
    <t>面積adeaの計算</t>
  </si>
  <si>
    <t>e</t>
  </si>
  <si>
    <t>ωdeg</t>
  </si>
  <si>
    <t>ωrad</t>
  </si>
  <si>
    <t>xe=</t>
  </si>
  <si>
    <t>ye-ya=</t>
  </si>
  <si>
    <t>xf</t>
  </si>
  <si>
    <t>b=xf-xe</t>
  </si>
  <si>
    <t>△aef</t>
  </si>
  <si>
    <t>A</t>
  </si>
  <si>
    <t>W</t>
  </si>
  <si>
    <t>PA</t>
  </si>
  <si>
    <t>α=</t>
  </si>
  <si>
    <t>rad</t>
  </si>
  <si>
    <t>度</t>
  </si>
  <si>
    <t>φ=</t>
  </si>
  <si>
    <t>δ=</t>
  </si>
  <si>
    <t>PA</t>
  </si>
  <si>
    <t>max</t>
  </si>
  <si>
    <t>ω(゜)</t>
  </si>
  <si>
    <t>b(m)</t>
  </si>
  <si>
    <t>W(kN/m)</t>
  </si>
  <si>
    <t>PA(kN/m)</t>
  </si>
  <si>
    <t>(正解)</t>
  </si>
  <si>
    <t>（１）土圧の計算</t>
  </si>
  <si>
    <t>試行くさび法によって計算する。</t>
  </si>
  <si>
    <t>壁面傾斜角</t>
  </si>
  <si>
    <t>土塊の面積</t>
  </si>
  <si>
    <t>a</t>
  </si>
  <si>
    <t>b</t>
  </si>
  <si>
    <t>c</t>
  </si>
  <si>
    <t>d</t>
  </si>
  <si>
    <t>e</t>
  </si>
  <si>
    <t>f</t>
  </si>
  <si>
    <t>point</t>
  </si>
  <si>
    <t>∑</t>
  </si>
  <si>
    <t>土塊の重量(積載荷重を含む)</t>
  </si>
  <si>
    <t>α=</t>
  </si>
  <si>
    <t>すべり角と土圧の関係</t>
  </si>
  <si>
    <t>換算水平盛土高さ</t>
  </si>
  <si>
    <t>Hd=</t>
  </si>
  <si>
    <t>λ=</t>
  </si>
  <si>
    <t>hs=</t>
  </si>
  <si>
    <t>積載荷重および嵩上げ盛土があるときの土圧分布は台形とする。</t>
  </si>
  <si>
    <t>yA=</t>
  </si>
  <si>
    <t>yA=Hd/3×(3hs+Hd)/(2hs+Hd)</t>
  </si>
  <si>
    <t>（２）断面力</t>
  </si>
  <si>
    <t>土圧</t>
  </si>
  <si>
    <t>防護柵</t>
  </si>
  <si>
    <t>H(kN/m)</t>
  </si>
  <si>
    <t>y(m)</t>
  </si>
  <si>
    <t>H・y</t>
  </si>
  <si>
    <t>土圧の作用高</t>
  </si>
  <si>
    <t>土圧の水平分力</t>
  </si>
  <si>
    <t>PAH=</t>
  </si>
  <si>
    <t>Σ</t>
  </si>
  <si>
    <t>ω2=</t>
  </si>
  <si>
    <t>W1=</t>
  </si>
  <si>
    <t>W2-2</t>
  </si>
  <si>
    <t>W2-3</t>
  </si>
  <si>
    <t>W2=</t>
  </si>
  <si>
    <t>゜</t>
  </si>
  <si>
    <t>kN/m</t>
  </si>
  <si>
    <t>R2=</t>
  </si>
  <si>
    <t>安全率</t>
  </si>
  <si>
    <t>転倒</t>
  </si>
  <si>
    <t>滑動</t>
  </si>
  <si>
    <t>支持</t>
  </si>
  <si>
    <t>安定条件</t>
  </si>
  <si>
    <t>B/ea=</t>
  </si>
  <si>
    <t>転倒の安全率 Fs</t>
  </si>
  <si>
    <t>滑動の安全率 Fs</t>
  </si>
  <si>
    <t>許容偏心比　B/ea</t>
  </si>
  <si>
    <t xml:space="preserve">R2= </t>
  </si>
  <si>
    <t>土圧強度</t>
  </si>
  <si>
    <t>p1=</t>
  </si>
  <si>
    <t>p2=</t>
  </si>
  <si>
    <t>PA=1/2×(p1+p2)HA=</t>
  </si>
  <si>
    <t>土圧合力</t>
  </si>
  <si>
    <t>２．１　荷重の種類</t>
  </si>
  <si>
    <t>擁壁に作用する荷重としては，下図に示すように躯体自重，底版上の土砂，積載荷重，</t>
  </si>
  <si>
    <t>仮想背面での主働土圧，防護柵に作用する水平及び鉛直推力を考慮する。</t>
  </si>
  <si>
    <t>　２．２　躯体自重</t>
  </si>
  <si>
    <t>　２．３　底版上の土砂</t>
  </si>
  <si>
    <t>　底版上の土砂の断面積，重心位置の計算は，座標値法で算出する．</t>
  </si>
  <si>
    <t>　２．４　載 荷 重</t>
  </si>
  <si>
    <t>　２．５　仮想背面に作用する主働土圧</t>
  </si>
  <si>
    <t>受動土圧係数　(ランキン式による)</t>
  </si>
  <si>
    <t>（１）擁壁躯体寸法</t>
  </si>
  <si>
    <t>躯体寸法</t>
  </si>
  <si>
    <t>（２）盛土条件</t>
  </si>
  <si>
    <t>（３）地盤条件</t>
  </si>
  <si>
    <t>支持地盤</t>
  </si>
  <si>
    <t>擁壁底面と支持地盤の摩擦係数</t>
  </si>
  <si>
    <t>（４）土圧計算条件</t>
  </si>
  <si>
    <t>（５）載荷荷重</t>
  </si>
  <si>
    <t>（６）使用材料の種類と許容応力度</t>
  </si>
  <si>
    <t>（７）剛体的安定条件</t>
  </si>
  <si>
    <t>転倒に対して</t>
  </si>
  <si>
    <t>滑動に対して</t>
  </si>
  <si>
    <t>地盤支持に対して</t>
  </si>
  <si>
    <t>xv=</t>
  </si>
  <si>
    <t>線ab'(m)</t>
  </si>
  <si>
    <t>Δω2=</t>
  </si>
  <si>
    <t>載荷方法</t>
  </si>
  <si>
    <t>γ=</t>
  </si>
  <si>
    <t>kN/m3</t>
  </si>
  <si>
    <t>φ=</t>
  </si>
  <si>
    <t>度</t>
  </si>
  <si>
    <t>rad</t>
  </si>
  <si>
    <t>q1=</t>
  </si>
  <si>
    <t>kN/m2</t>
  </si>
  <si>
    <t>q2=</t>
  </si>
  <si>
    <t>H0=</t>
  </si>
  <si>
    <t>m</t>
  </si>
  <si>
    <t>H=</t>
  </si>
  <si>
    <t>HA=</t>
  </si>
  <si>
    <t>n=</t>
  </si>
  <si>
    <t>s=</t>
  </si>
  <si>
    <t>nH0=</t>
  </si>
  <si>
    <t>b=</t>
  </si>
  <si>
    <t>β=</t>
  </si>
  <si>
    <t>ωb=</t>
  </si>
  <si>
    <t>ωc=</t>
  </si>
  <si>
    <t>△acdの面積</t>
  </si>
  <si>
    <t>m2</t>
  </si>
  <si>
    <t>kN/m</t>
  </si>
  <si>
    <t>線ac</t>
  </si>
  <si>
    <t>m</t>
  </si>
  <si>
    <t>△abcdの面積</t>
  </si>
  <si>
    <t>∠acb</t>
  </si>
  <si>
    <t>rad</t>
  </si>
  <si>
    <t>ω1min=</t>
  </si>
  <si>
    <t>ω1max=</t>
  </si>
  <si>
    <t>Δω1=</t>
  </si>
  <si>
    <t>ω2min=</t>
  </si>
  <si>
    <t>ω2max=</t>
  </si>
  <si>
    <t>W2-1</t>
  </si>
  <si>
    <t>PAH(kN/m)</t>
  </si>
  <si>
    <t>ω1(deg)</t>
  </si>
  <si>
    <t>ω2(deg)</t>
  </si>
  <si>
    <t>ω1(rad)</t>
  </si>
  <si>
    <t>ω2(rad)</t>
  </si>
  <si>
    <t>W1(kN/m)</t>
  </si>
  <si>
    <t>W2(kN/m)</t>
  </si>
  <si>
    <t>∠ab'c(rad)</t>
  </si>
  <si>
    <t>線ab'(m)</t>
  </si>
  <si>
    <t>垂線(m)</t>
  </si>
  <si>
    <t>R2(kN/m)</t>
  </si>
  <si>
    <t>δ(rad)</t>
  </si>
  <si>
    <t>max</t>
  </si>
  <si>
    <t>ω1min=</t>
  </si>
  <si>
    <t>正解値</t>
  </si>
  <si>
    <t>ω1=</t>
  </si>
  <si>
    <t>W1=</t>
  </si>
  <si>
    <t>W2=</t>
  </si>
  <si>
    <t>R2=</t>
  </si>
  <si>
    <t>PA=</t>
  </si>
  <si>
    <t>deg</t>
  </si>
  <si>
    <t>安定計算結果</t>
  </si>
  <si>
    <t>偏心量</t>
  </si>
  <si>
    <t>地盤反力</t>
  </si>
  <si>
    <t>計算値</t>
  </si>
  <si>
    <t>既定値</t>
  </si>
  <si>
    <t>評価</t>
  </si>
  <si>
    <t>照査項目</t>
  </si>
  <si>
    <t>応力計算結果</t>
  </si>
  <si>
    <t>照査項目</t>
  </si>
  <si>
    <t>コンクリート</t>
  </si>
  <si>
    <t>せん断</t>
  </si>
  <si>
    <t>たて壁</t>
  </si>
  <si>
    <t>かかと版</t>
  </si>
  <si>
    <t>許容値</t>
  </si>
  <si>
    <t>改良試行くさび法の土圧計算</t>
  </si>
  <si>
    <t>壁面土圧の計算</t>
  </si>
  <si>
    <r>
      <t>δ=tan</t>
    </r>
    <r>
      <rPr>
        <vertAlign val="superscript"/>
        <sz val="11"/>
        <rFont val="ＭＳ Ｐゴシック"/>
        <family val="3"/>
      </rPr>
      <t xml:space="preserve">-1 </t>
    </r>
    <r>
      <rPr>
        <sz val="11"/>
        <rFont val="ＭＳ Ｐゴシック"/>
        <family val="3"/>
      </rPr>
      <t xml:space="preserve"> </t>
    </r>
  </si>
  <si>
    <t>備考</t>
  </si>
  <si>
    <t>x0=</t>
  </si>
  <si>
    <t>たて壁</t>
  </si>
  <si>
    <t>底　版</t>
  </si>
  <si>
    <t>部　材</t>
  </si>
  <si>
    <t>呼び名</t>
  </si>
  <si>
    <t>ピッチ</t>
  </si>
  <si>
    <t>鉄筋の</t>
  </si>
  <si>
    <t>中心ｶﾌﾞﾘ</t>
  </si>
  <si>
    <t>使用材料</t>
  </si>
  <si>
    <t>鉄筋材質</t>
  </si>
  <si>
    <t>鉄筋引張</t>
  </si>
  <si>
    <t>許容応力(N/mm2)</t>
  </si>
  <si>
    <t>底版の曲げモーメント</t>
  </si>
  <si>
    <t>たて壁基部の曲げモーメント以下(道路土工指針)</t>
  </si>
  <si>
    <t>制限を設けない</t>
  </si>
  <si>
    <t>底版の曲げモーメント</t>
  </si>
  <si>
    <t>(たて壁)</t>
  </si>
  <si>
    <t>制約</t>
  </si>
  <si>
    <t>設計用M=</t>
  </si>
  <si>
    <t>たて壁天端から任意位置までの鉛直距離をzとする。</t>
  </si>
  <si>
    <t>MP(z)=PH(h+z)</t>
  </si>
  <si>
    <t>防護柵に作用する水平力PHによる曲げモーメントMP(z)は次式となる。</t>
  </si>
  <si>
    <t>主働土圧の水平成分による曲げモーメントMA(z)は次式で表される。</t>
  </si>
  <si>
    <t>任意位置の曲げモーメントM(z)は次式となる。</t>
  </si>
  <si>
    <t>M(z)=MP(z)+MA(z)</t>
  </si>
  <si>
    <t>（１）任意位置の曲げモーメント</t>
  </si>
  <si>
    <t>５．任意位置の必要鉄筋量と最大鉄筋配置間隔</t>
  </si>
  <si>
    <t>（２）任意位置のたて壁の有効高</t>
  </si>
  <si>
    <t>任意位置の有効高さd(z)は次式で表される。</t>
  </si>
  <si>
    <t>　　・z≦H4</t>
  </si>
  <si>
    <t>　　・z&gt;H4</t>
  </si>
  <si>
    <t>（３）必要鉄筋量と最大鉄筋配置間隔</t>
  </si>
  <si>
    <t>必要鉄筋量Asreqは次式で表される。</t>
  </si>
  <si>
    <t xml:space="preserve">Asreq = </t>
  </si>
  <si>
    <t>M(z)</t>
  </si>
  <si>
    <t>σsa・j・d(z)</t>
  </si>
  <si>
    <t>j=</t>
  </si>
  <si>
    <t>の値とみなす。</t>
  </si>
  <si>
    <t>使用する鉄筋１本当りの断面積をAsoとすれば，必要最大間隔は次式となる。</t>
  </si>
  <si>
    <t xml:space="preserve">pitch = </t>
  </si>
  <si>
    <t>Aso</t>
  </si>
  <si>
    <t>Asreq</t>
  </si>
  <si>
    <t>z(m)</t>
  </si>
  <si>
    <t>H1=</t>
  </si>
  <si>
    <t>H2=</t>
  </si>
  <si>
    <t>H3=</t>
  </si>
  <si>
    <t>H4=</t>
  </si>
  <si>
    <t>m　，</t>
  </si>
  <si>
    <t>m</t>
  </si>
  <si>
    <t>B1=</t>
  </si>
  <si>
    <t>Aso=</t>
  </si>
  <si>
    <t>d(z)=tw-iw</t>
  </si>
  <si>
    <t>tw=</t>
  </si>
  <si>
    <t>mm</t>
  </si>
  <si>
    <t>mm，</t>
  </si>
  <si>
    <t>mm　，</t>
  </si>
  <si>
    <t>d(z)=tw+(B1-tw)(z-H4)/H3-iw</t>
  </si>
  <si>
    <t>MP(z)</t>
  </si>
  <si>
    <t>PH=</t>
  </si>
  <si>
    <t>h=</t>
  </si>
  <si>
    <t>γ=</t>
  </si>
  <si>
    <t>q=</t>
  </si>
  <si>
    <t>分布</t>
  </si>
  <si>
    <r>
      <t>MA(z)=1/2hsγKAHz</t>
    </r>
    <r>
      <rPr>
        <vertAlign val="superscript"/>
        <sz val="11"/>
        <rFont val="ＭＳ Ｐゴシック"/>
        <family val="3"/>
      </rPr>
      <t>2</t>
    </r>
    <r>
      <rPr>
        <sz val="11"/>
        <rFont val="ＭＳ Ｐゴシック"/>
        <family val="3"/>
      </rPr>
      <t>+1/6γKAHz</t>
    </r>
    <r>
      <rPr>
        <vertAlign val="superscript"/>
        <sz val="11"/>
        <rFont val="ＭＳ Ｐゴシック"/>
        <family val="3"/>
      </rPr>
      <t>3</t>
    </r>
  </si>
  <si>
    <t>なお，主働土圧係数の水平成分KAHは次式で表される。</t>
  </si>
  <si>
    <t>2PAH</t>
  </si>
  <si>
    <t>γHd(2hs+Hd)</t>
  </si>
  <si>
    <t xml:space="preserve">KAH = </t>
  </si>
  <si>
    <t>PAH=</t>
  </si>
  <si>
    <t>hs=</t>
  </si>
  <si>
    <t>kN/m2</t>
  </si>
  <si>
    <t>KAH=</t>
  </si>
  <si>
    <t>MA(z)</t>
  </si>
  <si>
    <t>Asreq</t>
  </si>
  <si>
    <t>σsa=</t>
  </si>
  <si>
    <t>N/mm2</t>
  </si>
  <si>
    <t>付け根</t>
  </si>
  <si>
    <t>pitch</t>
  </si>
  <si>
    <t>(m)</t>
  </si>
  <si>
    <t>(mm)</t>
  </si>
  <si>
    <t>d(z)</t>
  </si>
  <si>
    <t>(kNm/m)</t>
  </si>
  <si>
    <t>(mm2)</t>
  </si>
  <si>
    <t>mm2　，</t>
  </si>
  <si>
    <t>kN/m　，</t>
  </si>
  <si>
    <t>kN/m　，</t>
  </si>
  <si>
    <t>kN/m3　，</t>
  </si>
  <si>
    <t>m　，</t>
  </si>
  <si>
    <t>(mm)</t>
  </si>
  <si>
    <t>（４）計算結果</t>
  </si>
  <si>
    <t>５．２　底版</t>
  </si>
  <si>
    <t>５．１　たて壁</t>
  </si>
  <si>
    <t>b≦300mm</t>
  </si>
  <si>
    <t>（１）任意位置の曲げモーメント</t>
  </si>
  <si>
    <t>かかとからの水平距離がxの位置の曲げモーメントM(x)は次式で求める。</t>
  </si>
  <si>
    <t xml:space="preserve">M(x) = </t>
  </si>
  <si>
    <r>
      <t>(B3+B4)</t>
    </r>
    <r>
      <rPr>
        <vertAlign val="superscript"/>
        <sz val="11"/>
        <rFont val="ＭＳ Ｐゴシック"/>
        <family val="3"/>
      </rPr>
      <t>2</t>
    </r>
  </si>
  <si>
    <t>Moは底版付け根の曲げモーメントである。</t>
  </si>
  <si>
    <r>
      <t>・x</t>
    </r>
    <r>
      <rPr>
        <vertAlign val="superscript"/>
        <sz val="11"/>
        <rFont val="ＭＳ Ｐゴシック"/>
        <family val="3"/>
      </rPr>
      <t>2</t>
    </r>
  </si>
  <si>
    <t>Mo</t>
  </si>
  <si>
    <t>（２）任意位置の底版の有効高</t>
  </si>
  <si>
    <t>　　・x≦B4</t>
  </si>
  <si>
    <t>　　・x&gt;B4</t>
  </si>
  <si>
    <t>d(z)=th-iw</t>
  </si>
  <si>
    <t>d(x)=th+(H1-th)(x-B4)/B3-iw</t>
  </si>
  <si>
    <t>M(x)</t>
  </si>
  <si>
    <t>σsa・j・d(x)</t>
  </si>
  <si>
    <t>jはAsとdの関数であるが，安全側になるようにかかと付け根部の応力計算に用いた</t>
  </si>
  <si>
    <t>jはAsとdの関数であるが，安全側になるようにたて壁基部の応力計算に用いた</t>
  </si>
  <si>
    <t>d(x)</t>
  </si>
  <si>
    <t>iw=</t>
  </si>
  <si>
    <t>Aso=</t>
  </si>
  <si>
    <t>mm2</t>
  </si>
  <si>
    <t>m　，</t>
  </si>
  <si>
    <t>mm　，</t>
  </si>
  <si>
    <t>【本ソフト使用上の留意事項】</t>
  </si>
  <si>
    <t>(1)地震時の検討はできません。</t>
  </si>
  <si>
    <t>(2)浮力や水圧は考慮できません。</t>
  </si>
  <si>
    <t>図－１</t>
  </si>
  <si>
    <t>図－２</t>
  </si>
  <si>
    <t>(3)盛土の小段部には積載荷重を載荷できません(図－２)。</t>
  </si>
  <si>
    <t>張出し長</t>
  </si>
  <si>
    <t>地盤反力の分布</t>
  </si>
  <si>
    <t>3d=</t>
  </si>
  <si>
    <t>q3=</t>
  </si>
  <si>
    <t>判定</t>
  </si>
  <si>
    <t>QV=</t>
  </si>
  <si>
    <t>(4)仮想背面より後方の地表面が水平でなければ適用できません(図－１参照)。</t>
  </si>
  <si>
    <t>　積載荷重を満載させるには小段幅をs=0と入力する必要があります。</t>
  </si>
  <si>
    <t xml:space="preserve">荷重の縮尺 １： </t>
  </si>
  <si>
    <t>q1=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</si>
</sst>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Red]\(0.000\)"/>
    <numFmt numFmtId="178" formatCode="0.0"/>
    <numFmt numFmtId="179" formatCode="0.0000"/>
    <numFmt numFmtId="180" formatCode="0.00000000000000_);[Red]\(0.00000000000000\)"/>
    <numFmt numFmtId="181" formatCode="0.00_);[Red]\(0.00\)"/>
    <numFmt numFmtId="182" formatCode="0.00000"/>
  </numFmts>
  <fonts count="17">
    <font>
      <sz val="11"/>
      <name val="ＭＳ Ｐゴシック"/>
      <family val="3"/>
    </font>
    <font>
      <sz val="6"/>
      <name val="ＭＳ Ｐゴシック"/>
      <family val="3"/>
    </font>
    <font>
      <sz val="11"/>
      <color indexed="10"/>
      <name val="ＭＳ Ｐゴシック"/>
      <family val="3"/>
    </font>
    <font>
      <sz val="9"/>
      <name val="ＭＳ Ｐゴシック"/>
      <family val="3"/>
    </font>
    <font>
      <sz val="11"/>
      <name val="Times New Roman"/>
      <family val="1"/>
    </font>
    <font>
      <sz val="11"/>
      <name val="ＭＳ Ｐ明朝"/>
      <family val="1"/>
    </font>
    <font>
      <sz val="8"/>
      <name val="ＭＳ Ｐゴシック"/>
      <family val="3"/>
    </font>
    <font>
      <sz val="6"/>
      <name val="ＭＳ Ｐ明朝"/>
      <family val="1"/>
    </font>
    <font>
      <sz val="10"/>
      <name val="ＭＳ Ｐゴシック"/>
      <family val="3"/>
    </font>
    <font>
      <sz val="14"/>
      <name val="ＭＳ Ｐゴシック"/>
      <family val="3"/>
    </font>
    <font>
      <vertAlign val="superscript"/>
      <sz val="11"/>
      <name val="ＭＳ Ｐゴシック"/>
      <family val="3"/>
    </font>
    <font>
      <sz val="12"/>
      <name val="ＭＳ Ｐゴシック"/>
      <family val="3"/>
    </font>
    <font>
      <sz val="10.25"/>
      <name val="ＭＳ Ｐゴシック"/>
      <family val="3"/>
    </font>
    <font>
      <i/>
      <sz val="12"/>
      <color indexed="8"/>
      <name val="Times New Roman"/>
      <family val="1"/>
    </font>
    <font>
      <sz val="12"/>
      <color indexed="8"/>
      <name val="ＭＳ Ｐゴシック"/>
      <family val="3"/>
    </font>
    <font>
      <u val="single"/>
      <sz val="10.25"/>
      <color indexed="12"/>
      <name val="ＭＳ Ｐゴシック"/>
      <family val="3"/>
    </font>
    <font>
      <u val="single"/>
      <sz val="7.7"/>
      <color indexed="36"/>
      <name val="ＭＳ Ｐゴシック"/>
      <family val="3"/>
    </font>
  </fonts>
  <fills count="4">
    <fill>
      <patternFill/>
    </fill>
    <fill>
      <patternFill patternType="gray125"/>
    </fill>
    <fill>
      <patternFill patternType="solid">
        <fgColor indexed="42"/>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diagonalDown="1">
      <left>
        <color indexed="63"/>
      </left>
      <right style="thin"/>
      <top style="thin"/>
      <bottom style="thin"/>
      <diagonal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diagonalDown="1">
      <left style="thin"/>
      <right style="thin"/>
      <top style="thin"/>
      <bottom style="thin"/>
      <diagonal style="thin"/>
    </border>
    <border diagonalDown="1">
      <left>
        <color indexed="63"/>
      </left>
      <right style="thin"/>
      <top style="thin"/>
      <bottom>
        <color indexed="63"/>
      </bottom>
      <diagonal style="thin"/>
    </border>
    <border diagonalDown="1">
      <left>
        <color indexed="63"/>
      </left>
      <right style="thin"/>
      <top>
        <color indexed="63"/>
      </top>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46">
    <xf numFmtId="0" fontId="0" fillId="0" borderId="0" xfId="0" applyAlignment="1">
      <alignment/>
    </xf>
    <xf numFmtId="0" fontId="0" fillId="2" borderId="0" xfId="0"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xf>
    <xf numFmtId="0" fontId="0" fillId="2" borderId="0" xfId="0" applyFill="1" applyAlignment="1">
      <alignment vertical="center" shrinkToFit="1"/>
    </xf>
    <xf numFmtId="0" fontId="0" fillId="2" borderId="0" xfId="0" applyFill="1" applyBorder="1" applyAlignment="1">
      <alignment horizontal="center" vertical="center"/>
    </xf>
    <xf numFmtId="0" fontId="0" fillId="2" borderId="0" xfId="0" applyFill="1" applyAlignment="1">
      <alignment horizontal="center" vertical="center" shrinkToFit="1"/>
    </xf>
    <xf numFmtId="0" fontId="4" fillId="0" borderId="1" xfId="0" applyFont="1" applyBorder="1" applyAlignment="1">
      <alignment horizontal="left" vertical="center"/>
    </xf>
    <xf numFmtId="0" fontId="0" fillId="0" borderId="0" xfId="0" applyFill="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vertical="center" shrinkToFit="1"/>
    </xf>
    <xf numFmtId="0" fontId="0" fillId="0" borderId="0" xfId="0" applyAlignment="1">
      <alignment horizontal="left"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176" fontId="0" fillId="0" borderId="2" xfId="0" applyNumberFormat="1" applyFont="1" applyBorder="1" applyAlignment="1">
      <alignment horizontal="center" vertical="center"/>
    </xf>
    <xf numFmtId="176" fontId="0" fillId="0" borderId="3" xfId="0" applyNumberFormat="1" applyFont="1" applyBorder="1" applyAlignment="1">
      <alignment horizontal="center" vertical="center"/>
    </xf>
    <xf numFmtId="176" fontId="0" fillId="0" borderId="0" xfId="0" applyNumberFormat="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0" fontId="0" fillId="0" borderId="2" xfId="0" applyBorder="1" applyAlignment="1">
      <alignment vertical="center"/>
    </xf>
    <xf numFmtId="0" fontId="0" fillId="2" borderId="0" xfId="0" applyFill="1" applyBorder="1" applyAlignment="1">
      <alignment vertical="center"/>
    </xf>
    <xf numFmtId="0" fontId="0" fillId="0" borderId="8" xfId="0" applyBorder="1" applyAlignment="1">
      <alignment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vertical="center"/>
    </xf>
    <xf numFmtId="2" fontId="0" fillId="0" borderId="2" xfId="0" applyNumberFormat="1" applyBorder="1" applyAlignment="1">
      <alignment horizontal="center" vertical="center"/>
    </xf>
    <xf numFmtId="2" fontId="0" fillId="0" borderId="5" xfId="0" applyNumberFormat="1" applyBorder="1" applyAlignment="1">
      <alignment horizontal="center" vertical="center"/>
    </xf>
    <xf numFmtId="2" fontId="0" fillId="0" borderId="3" xfId="0" applyNumberFormat="1" applyBorder="1" applyAlignment="1">
      <alignment horizontal="center" vertical="center"/>
    </xf>
    <xf numFmtId="2" fontId="0" fillId="0" borderId="6" xfId="0" applyNumberFormat="1" applyBorder="1" applyAlignment="1">
      <alignment horizontal="center" vertical="center"/>
    </xf>
    <xf numFmtId="0" fontId="5"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Border="1" applyAlignment="1">
      <alignment horizontal="center" vertic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12" xfId="0" applyBorder="1" applyAlignment="1">
      <alignment horizontal="center" vertical="center"/>
    </xf>
    <xf numFmtId="0" fontId="0" fillId="0" borderId="0" xfId="0" applyFill="1" applyAlignment="1">
      <alignment/>
    </xf>
    <xf numFmtId="0" fontId="0" fillId="0" borderId="13" xfId="0" applyFill="1" applyBorder="1" applyAlignment="1">
      <alignment/>
    </xf>
    <xf numFmtId="0" fontId="0" fillId="0" borderId="4" xfId="0" applyBorder="1" applyAlignment="1">
      <alignment/>
    </xf>
    <xf numFmtId="176" fontId="0" fillId="0" borderId="5" xfId="0" applyNumberFormat="1" applyFont="1" applyBorder="1" applyAlignment="1">
      <alignment horizontal="center" vertical="center"/>
    </xf>
    <xf numFmtId="0" fontId="0" fillId="0" borderId="7" xfId="0" applyBorder="1" applyAlignment="1">
      <alignment/>
    </xf>
    <xf numFmtId="0" fontId="0" fillId="0" borderId="2" xfId="0" applyNumberFormat="1" applyBorder="1" applyAlignment="1">
      <alignment vertical="center"/>
    </xf>
    <xf numFmtId="0" fontId="0" fillId="0" borderId="4" xfId="0" applyFill="1" applyBorder="1" applyAlignment="1">
      <alignment/>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0" fillId="0" borderId="0" xfId="0" applyBorder="1" applyAlignment="1">
      <alignment/>
    </xf>
    <xf numFmtId="0" fontId="0" fillId="0" borderId="1" xfId="0" applyBorder="1" applyAlignment="1">
      <alignment/>
    </xf>
    <xf numFmtId="176" fontId="0" fillId="0" borderId="9" xfId="0" applyNumberFormat="1" applyFont="1" applyBorder="1" applyAlignment="1">
      <alignment horizontal="center" vertical="center"/>
    </xf>
    <xf numFmtId="0" fontId="0" fillId="0" borderId="9" xfId="0" applyNumberFormat="1" applyBorder="1" applyAlignment="1">
      <alignment vertical="center"/>
    </xf>
    <xf numFmtId="0" fontId="0" fillId="0" borderId="8" xfId="0" applyBorder="1" applyAlignment="1">
      <alignment horizontal="center" vertical="center"/>
    </xf>
    <xf numFmtId="176" fontId="0" fillId="0" borderId="1" xfId="0" applyNumberFormat="1" applyBorder="1" applyAlignment="1">
      <alignment horizontal="center" vertical="center"/>
    </xf>
    <xf numFmtId="176" fontId="0" fillId="0" borderId="14" xfId="0" applyNumberFormat="1" applyBorder="1" applyAlignment="1">
      <alignment horizontal="center" vertical="center"/>
    </xf>
    <xf numFmtId="2" fontId="0" fillId="0" borderId="0" xfId="0" applyNumberFormat="1" applyAlignment="1">
      <alignment horizontal="center"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xf>
    <xf numFmtId="0" fontId="0" fillId="0" borderId="0" xfId="0" applyFont="1" applyFill="1" applyAlignment="1" applyProtection="1">
      <alignment shrinkToFit="1"/>
      <protection/>
    </xf>
    <xf numFmtId="0" fontId="4" fillId="0" borderId="1" xfId="0" applyFont="1" applyFill="1" applyBorder="1" applyAlignment="1">
      <alignment horizontal="left" vertical="center"/>
    </xf>
    <xf numFmtId="0" fontId="0" fillId="0" borderId="0" xfId="0" applyFont="1" applyFill="1" applyAlignment="1" applyProtection="1">
      <alignment/>
      <protection/>
    </xf>
    <xf numFmtId="0" fontId="0" fillId="0" borderId="0" xfId="0" applyFont="1" applyFill="1" applyAlignment="1" applyProtection="1">
      <alignment shrinkToFit="1"/>
      <protection/>
    </xf>
    <xf numFmtId="0" fontId="0" fillId="0" borderId="15" xfId="0" applyFont="1" applyFill="1" applyBorder="1" applyAlignment="1">
      <alignment/>
    </xf>
    <xf numFmtId="0" fontId="0" fillId="0" borderId="14" xfId="0" applyFont="1" applyFill="1" applyBorder="1" applyAlignment="1">
      <alignment/>
    </xf>
    <xf numFmtId="0" fontId="0" fillId="0" borderId="16" xfId="0" applyFont="1" applyFill="1" applyBorder="1" applyAlignment="1">
      <alignment/>
    </xf>
    <xf numFmtId="0" fontId="0" fillId="0" borderId="3" xfId="0" applyFont="1" applyFill="1" applyBorder="1" applyAlignment="1">
      <alignment/>
    </xf>
    <xf numFmtId="0" fontId="0" fillId="0" borderId="0" xfId="0" applyFont="1" applyFill="1" applyBorder="1" applyAlignment="1">
      <alignment/>
    </xf>
    <xf numFmtId="0" fontId="0" fillId="0" borderId="7" xfId="0" applyFont="1" applyFill="1" applyBorder="1" applyAlignment="1">
      <alignment/>
    </xf>
    <xf numFmtId="0" fontId="0" fillId="0" borderId="10" xfId="0" applyFont="1" applyFill="1" applyBorder="1" applyAlignment="1">
      <alignment/>
    </xf>
    <xf numFmtId="0" fontId="0" fillId="0" borderId="1" xfId="0" applyFont="1" applyFill="1" applyBorder="1" applyAlignment="1">
      <alignment/>
    </xf>
    <xf numFmtId="0" fontId="0" fillId="0" borderId="12" xfId="0" applyFont="1" applyFill="1" applyBorder="1" applyAlignment="1">
      <alignment/>
    </xf>
    <xf numFmtId="0" fontId="5" fillId="2" borderId="5" xfId="0" applyFont="1" applyFill="1" applyBorder="1" applyAlignment="1">
      <alignment horizontal="center"/>
    </xf>
    <xf numFmtId="0" fontId="0" fillId="2" borderId="5" xfId="0" applyFill="1" applyBorder="1" applyAlignment="1">
      <alignment horizontal="center" vertical="center"/>
    </xf>
    <xf numFmtId="0" fontId="0" fillId="2" borderId="5" xfId="0" applyFill="1" applyBorder="1" applyAlignment="1">
      <alignment horizontal="center" vertical="center" shrinkToFit="1"/>
    </xf>
    <xf numFmtId="0" fontId="0" fillId="0" borderId="5"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5" xfId="0" applyFill="1" applyBorder="1" applyAlignment="1">
      <alignment horizontal="center" vertical="center"/>
    </xf>
    <xf numFmtId="0" fontId="0" fillId="2" borderId="5" xfId="0" applyFill="1" applyBorder="1" applyAlignment="1">
      <alignment vertical="center" shrinkToFit="1"/>
    </xf>
    <xf numFmtId="0" fontId="0" fillId="2" borderId="5" xfId="0" applyFill="1" applyBorder="1" applyAlignment="1">
      <alignment vertical="center"/>
    </xf>
    <xf numFmtId="0" fontId="0" fillId="2" borderId="11" xfId="0" applyFill="1" applyBorder="1" applyAlignment="1">
      <alignment horizontal="center" vertical="center"/>
    </xf>
    <xf numFmtId="0" fontId="0" fillId="2" borderId="9" xfId="0" applyFill="1"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2" fontId="0" fillId="0" borderId="0" xfId="0" applyNumberFormat="1" applyAlignment="1">
      <alignment vertical="center"/>
    </xf>
    <xf numFmtId="1" fontId="0" fillId="0" borderId="0" xfId="0" applyNumberFormat="1" applyAlignment="1">
      <alignment vertical="center"/>
    </xf>
    <xf numFmtId="0" fontId="0" fillId="0" borderId="16" xfId="0" applyBorder="1" applyAlignment="1">
      <alignment horizontal="center" vertical="center"/>
    </xf>
    <xf numFmtId="0" fontId="0" fillId="0" borderId="15" xfId="0" applyBorder="1" applyAlignment="1">
      <alignment horizontal="center" vertical="center"/>
    </xf>
    <xf numFmtId="176" fontId="0" fillId="0" borderId="7" xfId="0" applyNumberFormat="1" applyBorder="1" applyAlignment="1">
      <alignment horizontal="center" vertical="center"/>
    </xf>
    <xf numFmtId="176" fontId="0" fillId="0" borderId="12" xfId="0" applyNumberFormat="1" applyBorder="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2" borderId="0" xfId="0" applyFill="1" applyAlignment="1">
      <alignment horizontal="right" vertical="center"/>
    </xf>
    <xf numFmtId="0" fontId="0" fillId="0" borderId="6" xfId="0" applyBorder="1" applyAlignment="1">
      <alignment horizontal="center" vertical="center"/>
    </xf>
    <xf numFmtId="0" fontId="0" fillId="0" borderId="7" xfId="0" applyBorder="1" applyAlignment="1">
      <alignment shrinkToFit="1"/>
    </xf>
    <xf numFmtId="0" fontId="0" fillId="0" borderId="2" xfId="0" applyBorder="1" applyAlignment="1">
      <alignment shrinkToFit="1"/>
    </xf>
    <xf numFmtId="0" fontId="0" fillId="0" borderId="12" xfId="0" applyBorder="1" applyAlignment="1">
      <alignment shrinkToFit="1"/>
    </xf>
    <xf numFmtId="0" fontId="0" fillId="0" borderId="9" xfId="0" applyBorder="1" applyAlignment="1">
      <alignment shrinkToFit="1"/>
    </xf>
    <xf numFmtId="0" fontId="0" fillId="0" borderId="0" xfId="0" applyFont="1" applyAlignment="1">
      <alignment horizontal="right"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4" xfId="0" applyBorder="1" applyAlignment="1">
      <alignment vertical="center"/>
    </xf>
    <xf numFmtId="0" fontId="0" fillId="0" borderId="1" xfId="0" applyBorder="1" applyAlignment="1">
      <alignment vertical="center" shrinkToFit="1"/>
    </xf>
    <xf numFmtId="0" fontId="0" fillId="2" borderId="5" xfId="0" applyFill="1" applyBorder="1" applyAlignment="1">
      <alignment horizontal="center" vertical="center"/>
    </xf>
    <xf numFmtId="0" fontId="0" fillId="2" borderId="5" xfId="0" applyFill="1" applyBorder="1" applyAlignment="1">
      <alignment vertical="center" wrapText="1"/>
    </xf>
    <xf numFmtId="0" fontId="0" fillId="2" borderId="11"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Border="1" applyAlignment="1">
      <alignment vertical="center" shrinkToFit="1"/>
    </xf>
    <xf numFmtId="0" fontId="0" fillId="0" borderId="14" xfId="0" applyBorder="1" applyAlignment="1">
      <alignment vertical="center" shrinkToFit="1"/>
    </xf>
    <xf numFmtId="0" fontId="0" fillId="0" borderId="14" xfId="0" applyBorder="1" applyAlignment="1">
      <alignment horizontal="center" vertical="center" shrinkToFit="1"/>
    </xf>
    <xf numFmtId="0" fontId="0" fillId="0" borderId="0" xfId="0" applyAlignment="1">
      <alignment horizontal="right" vertical="center" shrinkToFit="1"/>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4" xfId="0" applyBorder="1" applyAlignment="1">
      <alignment horizontal="center" vertical="center"/>
    </xf>
    <xf numFmtId="0" fontId="0" fillId="0" borderId="0" xfId="0" applyAlignment="1">
      <alignment horizontal="right"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2" xfId="0" applyBorder="1" applyAlignment="1">
      <alignment vertical="center" shrinkToFit="1"/>
    </xf>
    <xf numFmtId="0" fontId="0" fillId="0" borderId="9"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strRef>
              <c:f>データ!$G$49</c:f>
              <c:strCache>
                <c:ptCount val="1"/>
                <c:pt idx="0">
                  <c:v>擁壁</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データ!$G$50:$G$76</c:f>
              <c:numCache>
                <c:ptCount val="27"/>
                <c:pt idx="0">
                  <c:v>0</c:v>
                </c:pt>
                <c:pt idx="1">
                  <c:v>2.5</c:v>
                </c:pt>
                <c:pt idx="2">
                  <c:v>2.5</c:v>
                </c:pt>
                <c:pt idx="3">
                  <c:v>2.3</c:v>
                </c:pt>
                <c:pt idx="4">
                  <c:v>0.42000000000000004</c:v>
                </c:pt>
                <c:pt idx="5">
                  <c:v>0.22</c:v>
                </c:pt>
                <c:pt idx="6">
                  <c:v>0.1</c:v>
                </c:pt>
                <c:pt idx="7">
                  <c:v>0.1</c:v>
                </c:pt>
                <c:pt idx="8">
                  <c:v>0</c:v>
                </c:pt>
                <c:pt idx="9">
                  <c:v>0</c:v>
                </c:pt>
              </c:numCache>
            </c:numRef>
          </c:yVal>
          <c:smooth val="0"/>
        </c:ser>
        <c:ser>
          <c:idx val="1"/>
          <c:order val="1"/>
          <c:tx>
            <c:strRef>
              <c:f>データ!$H$49</c:f>
              <c:strCache>
                <c:ptCount val="1"/>
                <c:pt idx="0">
                  <c:v>盛土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データ!$H$50:$H$76</c:f>
              <c:numCache>
                <c:ptCount val="27"/>
                <c:pt idx="10">
                  <c:v>2.5</c:v>
                </c:pt>
                <c:pt idx="11">
                  <c:v>2.5</c:v>
                </c:pt>
                <c:pt idx="12">
                  <c:v>3.5</c:v>
                </c:pt>
                <c:pt idx="13">
                  <c:v>3.5</c:v>
                </c:pt>
              </c:numCache>
            </c:numRef>
          </c:yVal>
          <c:smooth val="0"/>
        </c:ser>
        <c:ser>
          <c:idx val="2"/>
          <c:order val="2"/>
          <c:tx>
            <c:strRef>
              <c:f>データ!$I$49</c:f>
              <c:strCache>
                <c:ptCount val="1"/>
                <c:pt idx="0">
                  <c:v>前面地盤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データ!$I$50:$I$76</c:f>
              <c:numCache>
                <c:ptCount val="27"/>
                <c:pt idx="14">
                  <c:v>0.5</c:v>
                </c:pt>
                <c:pt idx="15">
                  <c:v>0.5</c:v>
                </c:pt>
              </c:numCache>
            </c:numRef>
          </c:yVal>
          <c:smooth val="0"/>
        </c:ser>
        <c:ser>
          <c:idx val="3"/>
          <c:order val="3"/>
          <c:tx>
            <c:strRef>
              <c:f>データ!$J$49</c:f>
              <c:strCache>
                <c:ptCount val="1"/>
                <c:pt idx="0">
                  <c:v>積載荷重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データ!$J$50:$J$76</c:f>
              <c:numCache>
                <c:ptCount val="27"/>
                <c:pt idx="16">
                  <c:v>3.5</c:v>
                </c:pt>
                <c:pt idx="17">
                  <c:v>4.026315789473684</c:v>
                </c:pt>
                <c:pt idx="18">
                  <c:v>4.026315789473684</c:v>
                </c:pt>
              </c:numCache>
            </c:numRef>
          </c:yVal>
          <c:smooth val="0"/>
        </c:ser>
        <c:ser>
          <c:idx val="4"/>
          <c:order val="4"/>
          <c:tx>
            <c:strRef>
              <c:f>データ!$K$49</c:f>
              <c:strCache>
                <c:ptCount val="1"/>
                <c:pt idx="0">
                  <c:v>防護柵</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データ!$K$50:$K$76</c:f>
              <c:numCache>
                <c:ptCount val="27"/>
                <c:pt idx="19">
                  <c:v>2.5</c:v>
                </c:pt>
                <c:pt idx="20">
                  <c:v>3.6</c:v>
                </c:pt>
                <c:pt idx="21">
                  <c:v>3.6</c:v>
                </c:pt>
                <c:pt idx="22">
                  <c:v>2.5</c:v>
                </c:pt>
              </c:numCache>
            </c:numRef>
          </c:yVal>
          <c:smooth val="0"/>
        </c:ser>
        <c:ser>
          <c:idx val="5"/>
          <c:order val="5"/>
          <c:tx>
            <c:strRef>
              <c:f>データ!$L$49</c:f>
              <c:strCache>
                <c:ptCount val="1"/>
                <c:pt idx="0">
                  <c:v>鉛直推力</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データ!$L$50:$L$76</c:f>
              <c:numCache>
                <c:ptCount val="27"/>
                <c:pt idx="23">
                  <c:v>3.6</c:v>
                </c:pt>
                <c:pt idx="24">
                  <c:v>3.6</c:v>
                </c:pt>
              </c:numCache>
            </c:numRef>
          </c:yVal>
          <c:smooth val="0"/>
        </c:ser>
        <c:ser>
          <c:idx val="6"/>
          <c:order val="6"/>
          <c:tx>
            <c:strRef>
              <c:f>データ!$M$49</c:f>
              <c:strCache>
                <c:ptCount val="1"/>
                <c:pt idx="0">
                  <c:v>水平推力</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データ!$M$50:$M$76</c:f>
              <c:numCache>
                <c:ptCount val="27"/>
                <c:pt idx="25">
                  <c:v>3.6</c:v>
                </c:pt>
                <c:pt idx="26">
                  <c:v>3.6</c:v>
                </c:pt>
              </c:numCache>
            </c:numRef>
          </c:yVal>
          <c:smooth val="0"/>
        </c:ser>
        <c:axId val="65884446"/>
        <c:axId val="56089103"/>
      </c:scatterChart>
      <c:valAx>
        <c:axId val="65884446"/>
        <c:scaling>
          <c:orientation val="minMax"/>
        </c:scaling>
        <c:axPos val="b"/>
        <c:delete val="0"/>
        <c:numFmt formatCode="General" sourceLinked="1"/>
        <c:majorTickMark val="in"/>
        <c:minorTickMark val="none"/>
        <c:tickLblPos val="nextTo"/>
        <c:crossAx val="56089103"/>
        <c:crosses val="autoZero"/>
        <c:crossBetween val="midCat"/>
        <c:dispUnits/>
      </c:valAx>
      <c:valAx>
        <c:axId val="56089103"/>
        <c:scaling>
          <c:orientation val="minMax"/>
        </c:scaling>
        <c:axPos val="l"/>
        <c:delete val="0"/>
        <c:numFmt formatCode="General" sourceLinked="1"/>
        <c:majorTickMark val="in"/>
        <c:minorTickMark val="none"/>
        <c:tickLblPos val="nextTo"/>
        <c:crossAx val="65884446"/>
        <c:crosses val="autoZero"/>
        <c:crossBetween val="midCat"/>
        <c:dispUnits/>
      </c:valAx>
      <c:spPr>
        <a:noFill/>
        <a:ln>
          <a:noFill/>
        </a:ln>
      </c:spPr>
    </c:plotArea>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tx>
            <c:strRef>
              <c:f>'出力'!$F$389</c:f>
              <c:strCache>
                <c:ptCount val="1"/>
                <c:pt idx="0">
                  <c:v>PA(kN/m)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xVal>
            <c:numRef>
              <c:f>'出力'!$C$390:$C$398</c:f>
              <c:numCache/>
            </c:numRef>
          </c:xVal>
          <c:yVal>
            <c:numRef>
              <c:f>'出力'!$F$390:$F$398</c:f>
              <c:numCache/>
            </c:numRef>
          </c:yVal>
          <c:smooth val="1"/>
        </c:ser>
        <c:axId val="35039880"/>
        <c:axId val="46923465"/>
      </c:scatterChart>
      <c:valAx>
        <c:axId val="35039880"/>
        <c:scaling>
          <c:orientation val="minMax"/>
        </c:scaling>
        <c:axPos val="b"/>
        <c:title>
          <c:tx>
            <c:rich>
              <a:bodyPr vert="horz" rot="0" anchor="ctr"/>
              <a:lstStyle/>
              <a:p>
                <a:pPr algn="ctr">
                  <a:defRPr/>
                </a:pPr>
                <a:r>
                  <a:rPr lang="en-US"/>
                  <a:t>すべり角　ω(゜)</a:t>
                </a:r>
              </a:p>
            </c:rich>
          </c:tx>
          <c:layout/>
          <c:overlay val="0"/>
          <c:spPr>
            <a:noFill/>
            <a:ln>
              <a:noFill/>
            </a:ln>
          </c:spPr>
        </c:title>
        <c:delete val="0"/>
        <c:numFmt formatCode="General" sourceLinked="1"/>
        <c:majorTickMark val="in"/>
        <c:minorTickMark val="none"/>
        <c:tickLblPos val="nextTo"/>
        <c:spPr>
          <a:ln w="12700">
            <a:solidFill/>
          </a:ln>
        </c:spPr>
        <c:crossAx val="46923465"/>
        <c:crosses val="autoZero"/>
        <c:crossBetween val="midCat"/>
        <c:dispUnits/>
      </c:valAx>
      <c:valAx>
        <c:axId val="46923465"/>
        <c:scaling>
          <c:orientation val="minMax"/>
        </c:scaling>
        <c:axPos val="l"/>
        <c:title>
          <c:tx>
            <c:rich>
              <a:bodyPr vert="horz" rot="-5400000" anchor="ctr"/>
              <a:lstStyle/>
              <a:p>
                <a:pPr algn="ctr">
                  <a:defRPr/>
                </a:pPr>
                <a:r>
                  <a:rPr lang="en-US"/>
                  <a:t>土圧　PA(kN/m)</a:t>
                </a:r>
              </a:p>
            </c:rich>
          </c:tx>
          <c:layout/>
          <c:overlay val="0"/>
          <c:spPr>
            <a:noFill/>
            <a:ln>
              <a:noFill/>
            </a:ln>
          </c:spPr>
        </c:title>
        <c:delete val="0"/>
        <c:numFmt formatCode="General" sourceLinked="1"/>
        <c:majorTickMark val="in"/>
        <c:minorTickMark val="none"/>
        <c:tickLblPos val="nextTo"/>
        <c:spPr>
          <a:ln w="12700">
            <a:solidFill/>
          </a:ln>
        </c:spPr>
        <c:crossAx val="35039880"/>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strRef>
              <c:f>データ!$G$49</c:f>
              <c:strCache>
                <c:ptCount val="1"/>
                <c:pt idx="0">
                  <c:v>擁壁</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データ!$G$50:$G$76</c:f>
              <c:numCache>
                <c:ptCount val="27"/>
                <c:pt idx="0">
                  <c:v>0</c:v>
                </c:pt>
                <c:pt idx="1">
                  <c:v>2.5</c:v>
                </c:pt>
                <c:pt idx="2">
                  <c:v>2.5</c:v>
                </c:pt>
                <c:pt idx="3">
                  <c:v>2.3</c:v>
                </c:pt>
                <c:pt idx="4">
                  <c:v>0.42000000000000004</c:v>
                </c:pt>
                <c:pt idx="5">
                  <c:v>0.22</c:v>
                </c:pt>
                <c:pt idx="6">
                  <c:v>0.1</c:v>
                </c:pt>
                <c:pt idx="7">
                  <c:v>0.1</c:v>
                </c:pt>
                <c:pt idx="8">
                  <c:v>0</c:v>
                </c:pt>
                <c:pt idx="9">
                  <c:v>0</c:v>
                </c:pt>
              </c:numCache>
            </c:numRef>
          </c:yVal>
          <c:smooth val="0"/>
        </c:ser>
        <c:ser>
          <c:idx val="1"/>
          <c:order val="1"/>
          <c:tx>
            <c:strRef>
              <c:f>データ!$H$49</c:f>
              <c:strCache>
                <c:ptCount val="1"/>
                <c:pt idx="0">
                  <c:v>盛土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データ!$H$50:$H$76</c:f>
              <c:numCache>
                <c:ptCount val="27"/>
                <c:pt idx="10">
                  <c:v>2.5</c:v>
                </c:pt>
                <c:pt idx="11">
                  <c:v>2.5</c:v>
                </c:pt>
                <c:pt idx="12">
                  <c:v>3.5</c:v>
                </c:pt>
                <c:pt idx="13">
                  <c:v>3.5</c:v>
                </c:pt>
              </c:numCache>
            </c:numRef>
          </c:yVal>
          <c:smooth val="0"/>
        </c:ser>
        <c:ser>
          <c:idx val="2"/>
          <c:order val="2"/>
          <c:tx>
            <c:strRef>
              <c:f>データ!$I$49</c:f>
              <c:strCache>
                <c:ptCount val="1"/>
                <c:pt idx="0">
                  <c:v>前面地盤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データ!$I$50:$I$76</c:f>
              <c:numCache>
                <c:ptCount val="27"/>
                <c:pt idx="14">
                  <c:v>0.5</c:v>
                </c:pt>
                <c:pt idx="15">
                  <c:v>0.5</c:v>
                </c:pt>
              </c:numCache>
            </c:numRef>
          </c:yVal>
          <c:smooth val="0"/>
        </c:ser>
        <c:ser>
          <c:idx val="3"/>
          <c:order val="3"/>
          <c:tx>
            <c:strRef>
              <c:f>データ!$J$49</c:f>
              <c:strCache>
                <c:ptCount val="1"/>
                <c:pt idx="0">
                  <c:v>積載荷重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データ!$J$50:$J$76</c:f>
              <c:numCache>
                <c:ptCount val="27"/>
                <c:pt idx="16">
                  <c:v>3.5</c:v>
                </c:pt>
                <c:pt idx="17">
                  <c:v>4.026315789473684</c:v>
                </c:pt>
                <c:pt idx="18">
                  <c:v>4.026315789473684</c:v>
                </c:pt>
              </c:numCache>
            </c:numRef>
          </c:yVal>
          <c:smooth val="0"/>
        </c:ser>
        <c:ser>
          <c:idx val="4"/>
          <c:order val="4"/>
          <c:tx>
            <c:strRef>
              <c:f>データ!$K$49</c:f>
              <c:strCache>
                <c:ptCount val="1"/>
                <c:pt idx="0">
                  <c:v>防護柵</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データ!$K$50:$K$76</c:f>
              <c:numCache>
                <c:ptCount val="27"/>
                <c:pt idx="19">
                  <c:v>2.5</c:v>
                </c:pt>
                <c:pt idx="20">
                  <c:v>3.6</c:v>
                </c:pt>
                <c:pt idx="21">
                  <c:v>3.6</c:v>
                </c:pt>
                <c:pt idx="22">
                  <c:v>2.5</c:v>
                </c:pt>
              </c:numCache>
            </c:numRef>
          </c:yVal>
          <c:smooth val="0"/>
        </c:ser>
        <c:ser>
          <c:idx val="5"/>
          <c:order val="5"/>
          <c:tx>
            <c:strRef>
              <c:f>データ!$L$49</c:f>
              <c:strCache>
                <c:ptCount val="1"/>
                <c:pt idx="0">
                  <c:v>鉛直推力</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データ!$L$50:$L$76</c:f>
              <c:numCache>
                <c:ptCount val="27"/>
                <c:pt idx="23">
                  <c:v>3.6</c:v>
                </c:pt>
                <c:pt idx="24">
                  <c:v>3.6</c:v>
                </c:pt>
              </c:numCache>
            </c:numRef>
          </c:yVal>
          <c:smooth val="0"/>
        </c:ser>
        <c:ser>
          <c:idx val="6"/>
          <c:order val="6"/>
          <c:tx>
            <c:strRef>
              <c:f>データ!$M$49</c:f>
              <c:strCache>
                <c:ptCount val="1"/>
                <c:pt idx="0">
                  <c:v>水平推力</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データ!$M$50:$M$76</c:f>
              <c:numCache>
                <c:ptCount val="27"/>
                <c:pt idx="25">
                  <c:v>3.6</c:v>
                </c:pt>
                <c:pt idx="26">
                  <c:v>3.6</c:v>
                </c:pt>
              </c:numCache>
            </c:numRef>
          </c:yVal>
          <c:smooth val="0"/>
        </c:ser>
        <c:axId val="19658002"/>
        <c:axId val="42704291"/>
      </c:scatterChart>
      <c:valAx>
        <c:axId val="19658002"/>
        <c:scaling>
          <c:orientation val="minMax"/>
        </c:scaling>
        <c:axPos val="b"/>
        <c:delete val="0"/>
        <c:numFmt formatCode="General" sourceLinked="1"/>
        <c:majorTickMark val="in"/>
        <c:minorTickMark val="none"/>
        <c:tickLblPos val="nextTo"/>
        <c:spPr>
          <a:ln w="12700">
            <a:solidFill/>
          </a:ln>
        </c:spPr>
        <c:crossAx val="42704291"/>
        <c:crosses val="autoZero"/>
        <c:crossBetween val="midCat"/>
        <c:dispUnits/>
      </c:valAx>
      <c:valAx>
        <c:axId val="42704291"/>
        <c:scaling>
          <c:orientation val="minMax"/>
        </c:scaling>
        <c:axPos val="l"/>
        <c:delete val="0"/>
        <c:numFmt formatCode="General" sourceLinked="1"/>
        <c:majorTickMark val="in"/>
        <c:minorTickMark val="none"/>
        <c:tickLblPos val="nextTo"/>
        <c:spPr>
          <a:ln w="12700">
            <a:solidFill/>
          </a:ln>
        </c:spPr>
        <c:crossAx val="19658002"/>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strRef>
              <c:f>'出力'!$H$662</c:f>
              <c:strCache>
                <c:ptCount val="1"/>
                <c:pt idx="0">
                  <c:v>(mm)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'出力'!$H$663:$H$683</c:f>
              <c:numCache/>
            </c:numRef>
          </c:xVal>
          <c:yVal>
            <c:numRef>
              <c:f>'出力'!$B$663:$B$683</c:f>
              <c:numCache/>
            </c:numRef>
          </c:yVal>
          <c:smooth val="0"/>
        </c:ser>
        <c:axId val="48794300"/>
        <c:axId val="36495517"/>
      </c:scatterChart>
      <c:valAx>
        <c:axId val="48794300"/>
        <c:scaling>
          <c:orientation val="minMax"/>
        </c:scaling>
        <c:axPos val="t"/>
        <c:title>
          <c:tx>
            <c:rich>
              <a:bodyPr vert="horz" rot="0" anchor="ctr"/>
              <a:lstStyle/>
              <a:p>
                <a:pPr algn="ctr">
                  <a:defRPr/>
                </a:pPr>
                <a:r>
                  <a:rPr lang="en-US"/>
                  <a:t>鉄筋の最大間隔(mm)</a:t>
                </a:r>
              </a:p>
            </c:rich>
          </c:tx>
          <c:layout/>
          <c:overlay val="0"/>
          <c:spPr>
            <a:noFill/>
            <a:ln>
              <a:noFill/>
            </a:ln>
          </c:spPr>
        </c:title>
        <c:majorGridlines/>
        <c:delete val="0"/>
        <c:numFmt formatCode="General" sourceLinked="1"/>
        <c:majorTickMark val="in"/>
        <c:minorTickMark val="none"/>
        <c:tickLblPos val="nextTo"/>
        <c:spPr>
          <a:ln w="12700">
            <a:solidFill/>
          </a:ln>
        </c:spPr>
        <c:crossAx val="36495517"/>
        <c:crosses val="autoZero"/>
        <c:crossBetween val="midCat"/>
        <c:dispUnits/>
      </c:valAx>
      <c:valAx>
        <c:axId val="36495517"/>
        <c:scaling>
          <c:orientation val="maxMin"/>
        </c:scaling>
        <c:axPos val="l"/>
        <c:title>
          <c:tx>
            <c:rich>
              <a:bodyPr vert="horz" rot="-5400000" anchor="ctr"/>
              <a:lstStyle/>
              <a:p>
                <a:pPr algn="ctr">
                  <a:defRPr/>
                </a:pPr>
                <a:r>
                  <a:rPr lang="en-US"/>
                  <a:t>天端からの深さ z (m)</a:t>
                </a:r>
              </a:p>
            </c:rich>
          </c:tx>
          <c:layout/>
          <c:overlay val="0"/>
          <c:spPr>
            <a:noFill/>
            <a:ln>
              <a:noFill/>
            </a:ln>
          </c:spPr>
        </c:title>
        <c:majorGridlines/>
        <c:delete val="0"/>
        <c:numFmt formatCode="General" sourceLinked="0"/>
        <c:majorTickMark val="in"/>
        <c:minorTickMark val="none"/>
        <c:tickLblPos val="nextTo"/>
        <c:spPr>
          <a:ln w="12700">
            <a:solidFill/>
          </a:ln>
        </c:spPr>
        <c:crossAx val="48794300"/>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strRef>
              <c:f>'出力'!$F$754</c:f>
              <c:strCache>
                <c:ptCount val="1"/>
                <c:pt idx="0">
                  <c:v>(mm)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'出力'!$B$755:$B$775</c:f>
              <c:numCache/>
            </c:numRef>
          </c:xVal>
          <c:yVal>
            <c:numRef>
              <c:f>'出力'!$F$755:$F$775</c:f>
              <c:numCache/>
            </c:numRef>
          </c:yVal>
          <c:smooth val="0"/>
        </c:ser>
        <c:axId val="60024198"/>
        <c:axId val="3346871"/>
      </c:scatterChart>
      <c:valAx>
        <c:axId val="60024198"/>
        <c:scaling>
          <c:orientation val="maxMin"/>
        </c:scaling>
        <c:axPos val="b"/>
        <c:title>
          <c:tx>
            <c:rich>
              <a:bodyPr vert="horz" rot="0" anchor="ctr"/>
              <a:lstStyle/>
              <a:p>
                <a:pPr algn="ctr">
                  <a:defRPr/>
                </a:pPr>
                <a:r>
                  <a:rPr lang="en-US" cap="none" sz="1025" b="0" i="0" u="none" baseline="0">
                    <a:latin typeface="ＭＳ Ｐゴシック"/>
                    <a:ea typeface="ＭＳ Ｐゴシック"/>
                    <a:cs typeface="ＭＳ Ｐゴシック"/>
                  </a:rPr>
                  <a:t>かかとからの水平距離　x (m)</a:t>
                </a:r>
              </a:p>
            </c:rich>
          </c:tx>
          <c:layout/>
          <c:overlay val="0"/>
          <c:spPr>
            <a:noFill/>
            <a:ln>
              <a:noFill/>
            </a:ln>
          </c:spPr>
        </c:title>
        <c:majorGridlines/>
        <c:delete val="0"/>
        <c:numFmt formatCode="General" sourceLinked="1"/>
        <c:majorTickMark val="in"/>
        <c:minorTickMark val="none"/>
        <c:tickLblPos val="nextTo"/>
        <c:crossAx val="3346871"/>
        <c:crosses val="autoZero"/>
        <c:crossBetween val="midCat"/>
        <c:dispUnits/>
      </c:valAx>
      <c:valAx>
        <c:axId val="3346871"/>
        <c:scaling>
          <c:orientation val="minMax"/>
        </c:scaling>
        <c:axPos val="r"/>
        <c:title>
          <c:tx>
            <c:rich>
              <a:bodyPr vert="horz" rot="-5400000" anchor="ctr"/>
              <a:lstStyle/>
              <a:p>
                <a:pPr algn="ctr">
                  <a:defRPr/>
                </a:pPr>
                <a:r>
                  <a:rPr lang="en-US" cap="none" sz="1025" b="0" i="0" u="none" baseline="0">
                    <a:latin typeface="ＭＳ Ｐゴシック"/>
                    <a:ea typeface="ＭＳ Ｐゴシック"/>
                    <a:cs typeface="ＭＳ Ｐゴシック"/>
                  </a:rPr>
                  <a:t>鉄筋の最大間隔　(mm)</a:t>
                </a:r>
              </a:p>
            </c:rich>
          </c:tx>
          <c:layout/>
          <c:overlay val="0"/>
          <c:spPr>
            <a:noFill/>
            <a:ln>
              <a:noFill/>
            </a:ln>
          </c:spPr>
        </c:title>
        <c:majorGridlines/>
        <c:delete val="0"/>
        <c:numFmt formatCode="General" sourceLinked="1"/>
        <c:majorTickMark val="in"/>
        <c:minorTickMark val="none"/>
        <c:tickLblPos val="low"/>
        <c:crossAx val="60024198"/>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strRef>
              <c:f>データ!$G$49</c:f>
              <c:strCache>
                <c:ptCount val="1"/>
                <c:pt idx="0">
                  <c:v>擁壁</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numRef>
          </c:xVal>
          <c:yVal>
            <c:numRef>
              <c:f>データ!$G$50:$G$76</c:f>
              <c:numCache/>
            </c:numRef>
          </c:yVal>
          <c:smooth val="0"/>
        </c:ser>
        <c:ser>
          <c:idx val="1"/>
          <c:order val="1"/>
          <c:tx>
            <c:strRef>
              <c:f>データ!$H$49</c:f>
              <c:strCache>
                <c:ptCount val="1"/>
                <c:pt idx="0">
                  <c:v>盛土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numRef>
          </c:xVal>
          <c:yVal>
            <c:numRef>
              <c:f>データ!$H$50:$H$76</c:f>
              <c:numCache/>
            </c:numRef>
          </c:yVal>
          <c:smooth val="0"/>
        </c:ser>
        <c:ser>
          <c:idx val="2"/>
          <c:order val="2"/>
          <c:tx>
            <c:strRef>
              <c:f>データ!$I$49</c:f>
              <c:strCache>
                <c:ptCount val="1"/>
                <c:pt idx="0">
                  <c:v>前面地盤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numRef>
          </c:xVal>
          <c:yVal>
            <c:numRef>
              <c:f>データ!$I$50:$I$76</c:f>
              <c:numCache/>
            </c:numRef>
          </c:yVal>
          <c:smooth val="0"/>
        </c:ser>
        <c:ser>
          <c:idx val="3"/>
          <c:order val="3"/>
          <c:tx>
            <c:strRef>
              <c:f>データ!$J$49</c:f>
              <c:strCache>
                <c:ptCount val="1"/>
                <c:pt idx="0">
                  <c:v>積載荷重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numRef>
          </c:xVal>
          <c:yVal>
            <c:numRef>
              <c:f>データ!$J$50:$J$76</c:f>
              <c:numCache/>
            </c:numRef>
          </c:yVal>
          <c:smooth val="0"/>
        </c:ser>
        <c:ser>
          <c:idx val="4"/>
          <c:order val="4"/>
          <c:tx>
            <c:strRef>
              <c:f>データ!$K$49</c:f>
              <c:strCache>
                <c:ptCount val="1"/>
                <c:pt idx="0">
                  <c:v>防護柵</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numRef>
          </c:xVal>
          <c:yVal>
            <c:numRef>
              <c:f>データ!$K$50:$K$76</c:f>
              <c:numCache/>
            </c:numRef>
          </c:yVal>
          <c:smooth val="0"/>
        </c:ser>
        <c:ser>
          <c:idx val="5"/>
          <c:order val="5"/>
          <c:tx>
            <c:strRef>
              <c:f>データ!$L$49</c:f>
              <c:strCache>
                <c:ptCount val="1"/>
                <c:pt idx="0">
                  <c:v>鉛直推力</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numRef>
          </c:xVal>
          <c:yVal>
            <c:numRef>
              <c:f>データ!$L$50:$L$76</c:f>
              <c:numCache/>
            </c:numRef>
          </c:yVal>
          <c:smooth val="0"/>
        </c:ser>
        <c:ser>
          <c:idx val="6"/>
          <c:order val="6"/>
          <c:tx>
            <c:strRef>
              <c:f>データ!$M$49</c:f>
              <c:strCache>
                <c:ptCount val="1"/>
                <c:pt idx="0">
                  <c:v>水平推力</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numRef>
          </c:xVal>
          <c:yVal>
            <c:numRef>
              <c:f>データ!$M$50:$M$76</c:f>
              <c:numCache/>
            </c:numRef>
          </c:yVal>
          <c:smooth val="0"/>
        </c:ser>
        <c:axId val="30121840"/>
        <c:axId val="2661105"/>
      </c:scatterChart>
      <c:valAx>
        <c:axId val="30121840"/>
        <c:scaling>
          <c:orientation val="minMax"/>
        </c:scaling>
        <c:axPos val="b"/>
        <c:delete val="0"/>
        <c:numFmt formatCode="General" sourceLinked="1"/>
        <c:majorTickMark val="in"/>
        <c:minorTickMark val="none"/>
        <c:tickLblPos val="nextTo"/>
        <c:crossAx val="2661105"/>
        <c:crosses val="autoZero"/>
        <c:crossBetween val="midCat"/>
        <c:dispUnits/>
      </c:valAx>
      <c:valAx>
        <c:axId val="2661105"/>
        <c:scaling>
          <c:orientation val="minMax"/>
        </c:scaling>
        <c:axPos val="l"/>
        <c:delete val="0"/>
        <c:numFmt formatCode="General" sourceLinked="1"/>
        <c:majorTickMark val="in"/>
        <c:minorTickMark val="none"/>
        <c:tickLblPos val="nextTo"/>
        <c:crossAx val="30121840"/>
        <c:crosses val="autoZero"/>
        <c:crossBetween val="midCat"/>
        <c:dispUnits/>
      </c:valAx>
      <c:spPr>
        <a:noFill/>
        <a:ln>
          <a:no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7.emf" /><Relationship Id="rId3" Type="http://schemas.openxmlformats.org/officeDocument/2006/relationships/image" Target="../media/image29.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2.emf" /><Relationship Id="rId5" Type="http://schemas.openxmlformats.org/officeDocument/2006/relationships/image" Target="../media/image4.emf" /><Relationship Id="rId6" Type="http://schemas.openxmlformats.org/officeDocument/2006/relationships/image" Target="../media/image12.emf" /><Relationship Id="rId7" Type="http://schemas.openxmlformats.org/officeDocument/2006/relationships/image" Target="../media/image15.emf" /><Relationship Id="rId8" Type="http://schemas.openxmlformats.org/officeDocument/2006/relationships/image" Target="../media/image16.emf" /><Relationship Id="rId9" Type="http://schemas.openxmlformats.org/officeDocument/2006/relationships/image" Target="../media/image18.emf" /><Relationship Id="rId10" Type="http://schemas.openxmlformats.org/officeDocument/2006/relationships/image" Target="../media/image19.emf" /><Relationship Id="rId11" Type="http://schemas.openxmlformats.org/officeDocument/2006/relationships/image" Target="../media/image20.emf" /><Relationship Id="rId12" Type="http://schemas.openxmlformats.org/officeDocument/2006/relationships/chart" Target="/xl/charts/chart2.xml" /><Relationship Id="rId13" Type="http://schemas.openxmlformats.org/officeDocument/2006/relationships/image" Target="../media/image22.emf" /><Relationship Id="rId14" Type="http://schemas.openxmlformats.org/officeDocument/2006/relationships/image" Target="../media/image25.emf" /><Relationship Id="rId15" Type="http://schemas.openxmlformats.org/officeDocument/2006/relationships/image" Target="../media/image1.emf" /><Relationship Id="rId16" Type="http://schemas.openxmlformats.org/officeDocument/2006/relationships/image" Target="../media/image26.emf" /><Relationship Id="rId17" Type="http://schemas.openxmlformats.org/officeDocument/2006/relationships/image" Target="../media/image7.emf" /><Relationship Id="rId18" Type="http://schemas.openxmlformats.org/officeDocument/2006/relationships/chart" Target="/xl/charts/chart3.xml" /><Relationship Id="rId19" Type="http://schemas.openxmlformats.org/officeDocument/2006/relationships/image" Target="../media/image13.emf" /><Relationship Id="rId20" Type="http://schemas.openxmlformats.org/officeDocument/2006/relationships/chart" Target="/xl/charts/chart4.xml" /><Relationship Id="rId21" Type="http://schemas.openxmlformats.org/officeDocument/2006/relationships/chart" Target="/xl/charts/chart5.xml" /><Relationship Id="rId22" Type="http://schemas.openxmlformats.org/officeDocument/2006/relationships/image" Target="../media/image27.emf" /><Relationship Id="rId23" Type="http://schemas.openxmlformats.org/officeDocument/2006/relationships/image" Target="../media/image28.emf" /></Relationships>
</file>

<file path=xl/drawings/_rels/drawing3.xml.rels><?xml version="1.0" encoding="utf-8" standalone="yes"?><Relationships xmlns="http://schemas.openxmlformats.org/package/2006/relationships"><Relationship Id="rId1" Type="http://schemas.openxmlformats.org/officeDocument/2006/relationships/image" Target="../media/image2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1.emf" /><Relationship Id="rId3" Type="http://schemas.openxmlformats.org/officeDocument/2006/relationships/image" Target="../media/image8.emf" /><Relationship Id="rId4" Type="http://schemas.openxmlformats.org/officeDocument/2006/relationships/image" Target="../media/image23.emf" /><Relationship Id="rId5" Type="http://schemas.openxmlformats.org/officeDocument/2006/relationships/image" Target="../media/image24.emf" /><Relationship Id="rId6" Type="http://schemas.openxmlformats.org/officeDocument/2006/relationships/image" Target="../media/image14.emf" /><Relationship Id="rId7"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638175</xdr:colOff>
      <xdr:row>3</xdr:row>
      <xdr:rowOff>161925</xdr:rowOff>
    </xdr:from>
    <xdr:to>
      <xdr:col>20</xdr:col>
      <xdr:colOff>276225</xdr:colOff>
      <xdr:row>23</xdr:row>
      <xdr:rowOff>171450</xdr:rowOff>
    </xdr:to>
    <xdr:graphicFrame>
      <xdr:nvGraphicFramePr>
        <xdr:cNvPr id="1" name="Chart 12"/>
        <xdr:cNvGraphicFramePr/>
      </xdr:nvGraphicFramePr>
      <xdr:xfrm>
        <a:off x="9029700" y="847725"/>
        <a:ext cx="4438650" cy="4581525"/>
      </xdr:xfrm>
      <a:graphic>
        <a:graphicData uri="http://schemas.openxmlformats.org/drawingml/2006/chart">
          <c:chart xmlns:c="http://schemas.openxmlformats.org/drawingml/2006/chart" r:id="rId1"/>
        </a:graphicData>
      </a:graphic>
    </xdr:graphicFrame>
    <xdr:clientData/>
  </xdr:twoCellAnchor>
  <xdr:twoCellAnchor>
    <xdr:from>
      <xdr:col>2</xdr:col>
      <xdr:colOff>85725</xdr:colOff>
      <xdr:row>54</xdr:row>
      <xdr:rowOff>123825</xdr:rowOff>
    </xdr:from>
    <xdr:to>
      <xdr:col>7</xdr:col>
      <xdr:colOff>104775</xdr:colOff>
      <xdr:row>64</xdr:row>
      <xdr:rowOff>161925</xdr:rowOff>
    </xdr:to>
    <xdr:grpSp>
      <xdr:nvGrpSpPr>
        <xdr:cNvPr id="2" name="Group 151"/>
        <xdr:cNvGrpSpPr>
          <a:grpSpLocks/>
        </xdr:cNvGrpSpPr>
      </xdr:nvGrpSpPr>
      <xdr:grpSpPr>
        <a:xfrm>
          <a:off x="933450" y="12820650"/>
          <a:ext cx="3448050" cy="2324100"/>
          <a:chOff x="1335" y="222"/>
          <a:chExt cx="2743" cy="1846"/>
        </a:xfrm>
        <a:solidFill>
          <a:srgbClr val="FFFFFF"/>
        </a:solidFill>
      </xdr:grpSpPr>
      <xdr:grpSp>
        <xdr:nvGrpSpPr>
          <xdr:cNvPr id="3" name="Group 152"/>
          <xdr:cNvGrpSpPr>
            <a:grpSpLocks/>
          </xdr:cNvGrpSpPr>
        </xdr:nvGrpSpPr>
        <xdr:grpSpPr>
          <a:xfrm>
            <a:off x="1335" y="222"/>
            <a:ext cx="1293" cy="1846"/>
            <a:chOff x="1229" y="928"/>
            <a:chExt cx="1293" cy="1846"/>
          </a:xfrm>
          <a:solidFill>
            <a:srgbClr val="FFFFFF"/>
          </a:solidFill>
        </xdr:grpSpPr>
        <xdr:grpSp>
          <xdr:nvGrpSpPr>
            <xdr:cNvPr id="5" name="Group 154"/>
            <xdr:cNvGrpSpPr>
              <a:grpSpLocks/>
            </xdr:cNvGrpSpPr>
          </xdr:nvGrpSpPr>
          <xdr:grpSpPr>
            <a:xfrm>
              <a:off x="1229" y="1348"/>
              <a:ext cx="1293" cy="1426"/>
              <a:chOff x="1229" y="1348"/>
              <a:chExt cx="1293" cy="1426"/>
            </a:xfrm>
            <a:solidFill>
              <a:srgbClr val="FFFFFF"/>
            </a:solidFill>
          </xdr:grpSpPr>
          <xdr:sp>
            <xdr:nvSpPr>
              <xdr:cNvPr id="6" name="AutoShape 155"/>
              <xdr:cNvSpPr>
                <a:spLocks/>
              </xdr:cNvSpPr>
            </xdr:nvSpPr>
            <xdr:spPr>
              <a:xfrm>
                <a:off x="1229" y="1786"/>
                <a:ext cx="700" cy="988"/>
              </a:xfrm>
              <a:custGeom>
                <a:pathLst>
                  <a:path h="2304" w="1632">
                    <a:moveTo>
                      <a:pt x="0" y="0"/>
                    </a:moveTo>
                    <a:lnTo>
                      <a:pt x="144" y="0"/>
                    </a:lnTo>
                    <a:lnTo>
                      <a:pt x="144" y="672"/>
                    </a:lnTo>
                    <a:lnTo>
                      <a:pt x="240" y="1920"/>
                    </a:lnTo>
                    <a:lnTo>
                      <a:pt x="432" y="2112"/>
                    </a:lnTo>
                    <a:lnTo>
                      <a:pt x="1250" y="2177"/>
                    </a:lnTo>
                    <a:lnTo>
                      <a:pt x="1632" y="2177"/>
                    </a:lnTo>
                    <a:lnTo>
                      <a:pt x="1632" y="2304"/>
                    </a:lnTo>
                    <a:lnTo>
                      <a:pt x="0" y="2304"/>
                    </a:lnTo>
                    <a:lnTo>
                      <a:pt x="0" y="0"/>
                    </a:lnTo>
                    <a:close/>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AutoShape 156"/>
              <xdr:cNvSpPr>
                <a:spLocks/>
              </xdr:cNvSpPr>
            </xdr:nvSpPr>
            <xdr:spPr>
              <a:xfrm>
                <a:off x="1486" y="1348"/>
                <a:ext cx="1036" cy="443"/>
              </a:xfrm>
              <a:custGeom>
                <a:pathLst>
                  <a:path h="443" w="1036">
                    <a:moveTo>
                      <a:pt x="0" y="443"/>
                    </a:moveTo>
                    <a:lnTo>
                      <a:pt x="542" y="0"/>
                    </a:lnTo>
                    <a:lnTo>
                      <a:pt x="1036" y="1"/>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8" name="Group 157"/>
              <xdr:cNvGrpSpPr>
                <a:grpSpLocks/>
              </xdr:cNvGrpSpPr>
            </xdr:nvGrpSpPr>
            <xdr:grpSpPr>
              <a:xfrm flipV="1">
                <a:off x="2188" y="1360"/>
                <a:ext cx="181" cy="49"/>
                <a:chOff x="2969" y="2880"/>
                <a:chExt cx="826" cy="222"/>
              </a:xfrm>
              <a:solidFill>
                <a:srgbClr val="FFFFFF"/>
              </a:solidFill>
            </xdr:grpSpPr>
            <xdr:grpSp>
              <xdr:nvGrpSpPr>
                <xdr:cNvPr id="9" name="Group 158"/>
                <xdr:cNvGrpSpPr>
                  <a:grpSpLocks/>
                </xdr:cNvGrpSpPr>
              </xdr:nvGrpSpPr>
              <xdr:grpSpPr>
                <a:xfrm>
                  <a:off x="2969" y="2880"/>
                  <a:ext cx="366" cy="222"/>
                  <a:chOff x="2969" y="2880"/>
                  <a:chExt cx="158" cy="96"/>
                </a:xfrm>
                <a:solidFill>
                  <a:srgbClr val="FFFFFF"/>
                </a:solidFill>
              </xdr:grpSpPr>
              <xdr:sp>
                <xdr:nvSpPr>
                  <xdr:cNvPr id="10" name="AutoShape 159"/>
                  <xdr:cNvSpPr>
                    <a:spLocks/>
                  </xdr:cNvSpPr>
                </xdr:nvSpPr>
                <xdr:spPr>
                  <a:xfrm flipH="1">
                    <a:off x="2969"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AutoShape 160"/>
                  <xdr:cNvSpPr>
                    <a:spLocks/>
                  </xdr:cNvSpPr>
                </xdr:nvSpPr>
                <xdr:spPr>
                  <a:xfrm flipH="1">
                    <a:off x="3024"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AutoShape 161"/>
                  <xdr:cNvSpPr>
                    <a:spLocks/>
                  </xdr:cNvSpPr>
                </xdr:nvSpPr>
                <xdr:spPr>
                  <a:xfrm flipH="1">
                    <a:off x="3072"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3" name="AutoShape 162"/>
                <xdr:cNvSpPr>
                  <a:spLocks/>
                </xdr:cNvSpPr>
              </xdr:nvSpPr>
              <xdr:spPr>
                <a:xfrm>
                  <a:off x="3330" y="2901"/>
                  <a:ext cx="107" cy="18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AutoShape 163"/>
                <xdr:cNvSpPr>
                  <a:spLocks/>
                </xdr:cNvSpPr>
              </xdr:nvSpPr>
              <xdr:spPr>
                <a:xfrm>
                  <a:off x="3276" y="3000"/>
                  <a:ext cx="59"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AutoShape 164"/>
                <xdr:cNvSpPr>
                  <a:spLocks/>
                </xdr:cNvSpPr>
              </xdr:nvSpPr>
              <xdr:spPr>
                <a:xfrm>
                  <a:off x="3429" y="2880"/>
                  <a:ext cx="58"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6" name="Group 165"/>
                <xdr:cNvGrpSpPr>
                  <a:grpSpLocks/>
                </xdr:cNvGrpSpPr>
              </xdr:nvGrpSpPr>
              <xdr:grpSpPr>
                <a:xfrm>
                  <a:off x="3429" y="2880"/>
                  <a:ext cx="366" cy="222"/>
                  <a:chOff x="2969" y="2880"/>
                  <a:chExt cx="158" cy="96"/>
                </a:xfrm>
                <a:solidFill>
                  <a:srgbClr val="FFFFFF"/>
                </a:solidFill>
              </xdr:grpSpPr>
              <xdr:sp>
                <xdr:nvSpPr>
                  <xdr:cNvPr id="17" name="AutoShape 166"/>
                  <xdr:cNvSpPr>
                    <a:spLocks/>
                  </xdr:cNvSpPr>
                </xdr:nvSpPr>
                <xdr:spPr>
                  <a:xfrm flipH="1">
                    <a:off x="2969"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AutoShape 167"/>
                  <xdr:cNvSpPr>
                    <a:spLocks/>
                  </xdr:cNvSpPr>
                </xdr:nvSpPr>
                <xdr:spPr>
                  <a:xfrm flipH="1">
                    <a:off x="3024"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AutoShape 168"/>
                  <xdr:cNvSpPr>
                    <a:spLocks/>
                  </xdr:cNvSpPr>
                </xdr:nvSpPr>
                <xdr:spPr>
                  <a:xfrm flipH="1">
                    <a:off x="3072"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sp>
            <xdr:nvSpPr>
              <xdr:cNvPr id="20" name="AutoShape 169"/>
              <xdr:cNvSpPr>
                <a:spLocks/>
              </xdr:cNvSpPr>
            </xdr:nvSpPr>
            <xdr:spPr>
              <a:xfrm flipH="1">
                <a:off x="1290" y="1789"/>
                <a:ext cx="19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AutoShape 170"/>
              <xdr:cNvSpPr>
                <a:spLocks/>
              </xdr:cNvSpPr>
            </xdr:nvSpPr>
            <xdr:spPr>
              <a:xfrm flipV="1">
                <a:off x="1927" y="1439"/>
                <a:ext cx="0" cy="129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2" name="AutoShape 171"/>
            <xdr:cNvSpPr>
              <a:spLocks/>
            </xdr:cNvSpPr>
          </xdr:nvSpPr>
          <xdr:spPr>
            <a:xfrm>
              <a:off x="2039" y="1099"/>
              <a:ext cx="47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AutoShape 172"/>
            <xdr:cNvSpPr>
              <a:spLocks/>
            </xdr:cNvSpPr>
          </xdr:nvSpPr>
          <xdr:spPr>
            <a:xfrm>
              <a:off x="2033" y="1102"/>
              <a:ext cx="0" cy="25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AutoShape 173"/>
            <xdr:cNvSpPr>
              <a:spLocks/>
            </xdr:cNvSpPr>
          </xdr:nvSpPr>
          <xdr:spPr>
            <a:xfrm>
              <a:off x="2180" y="1102"/>
              <a:ext cx="0" cy="25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AutoShape 174"/>
            <xdr:cNvSpPr>
              <a:spLocks/>
            </xdr:cNvSpPr>
          </xdr:nvSpPr>
          <xdr:spPr>
            <a:xfrm>
              <a:off x="2327" y="1102"/>
              <a:ext cx="0" cy="25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AutoShape 175"/>
            <xdr:cNvSpPr>
              <a:spLocks/>
            </xdr:cNvSpPr>
          </xdr:nvSpPr>
          <xdr:spPr>
            <a:xfrm>
              <a:off x="2474" y="1102"/>
              <a:ext cx="0" cy="25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7" name="AutoShape 176"/>
          <xdr:cNvSpPr>
            <a:spLocks/>
          </xdr:cNvSpPr>
        </xdr:nvSpPr>
        <xdr:spPr>
          <a:xfrm>
            <a:off x="2774" y="1080"/>
            <a:ext cx="700" cy="988"/>
          </a:xfrm>
          <a:custGeom>
            <a:pathLst>
              <a:path h="2304" w="1632">
                <a:moveTo>
                  <a:pt x="0" y="0"/>
                </a:moveTo>
                <a:lnTo>
                  <a:pt x="144" y="0"/>
                </a:lnTo>
                <a:lnTo>
                  <a:pt x="144" y="672"/>
                </a:lnTo>
                <a:lnTo>
                  <a:pt x="240" y="1920"/>
                </a:lnTo>
                <a:lnTo>
                  <a:pt x="432" y="2112"/>
                </a:lnTo>
                <a:lnTo>
                  <a:pt x="1250" y="2177"/>
                </a:lnTo>
                <a:lnTo>
                  <a:pt x="1632" y="2177"/>
                </a:lnTo>
                <a:lnTo>
                  <a:pt x="1632" y="2304"/>
                </a:lnTo>
                <a:lnTo>
                  <a:pt x="0" y="2304"/>
                </a:lnTo>
                <a:lnTo>
                  <a:pt x="0" y="0"/>
                </a:lnTo>
                <a:close/>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AutoShape 177"/>
          <xdr:cNvSpPr>
            <a:spLocks/>
          </xdr:cNvSpPr>
        </xdr:nvSpPr>
        <xdr:spPr>
          <a:xfrm>
            <a:off x="3031" y="802"/>
            <a:ext cx="1047" cy="283"/>
          </a:xfrm>
          <a:custGeom>
            <a:pathLst>
              <a:path h="283" w="1047">
                <a:moveTo>
                  <a:pt x="0" y="283"/>
                </a:moveTo>
                <a:lnTo>
                  <a:pt x="351" y="0"/>
                </a:lnTo>
                <a:lnTo>
                  <a:pt x="1047"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9" name="Group 178"/>
          <xdr:cNvGrpSpPr>
            <a:grpSpLocks/>
          </xdr:cNvGrpSpPr>
        </xdr:nvGrpSpPr>
        <xdr:grpSpPr>
          <a:xfrm flipV="1">
            <a:off x="3685" y="803"/>
            <a:ext cx="181" cy="49"/>
            <a:chOff x="2969" y="2880"/>
            <a:chExt cx="826" cy="222"/>
          </a:xfrm>
          <a:solidFill>
            <a:srgbClr val="FFFFFF"/>
          </a:solidFill>
        </xdr:grpSpPr>
        <xdr:grpSp>
          <xdr:nvGrpSpPr>
            <xdr:cNvPr id="30" name="Group 179"/>
            <xdr:cNvGrpSpPr>
              <a:grpSpLocks/>
            </xdr:cNvGrpSpPr>
          </xdr:nvGrpSpPr>
          <xdr:grpSpPr>
            <a:xfrm>
              <a:off x="2969" y="2880"/>
              <a:ext cx="366" cy="222"/>
              <a:chOff x="2969" y="2880"/>
              <a:chExt cx="158" cy="96"/>
            </a:xfrm>
            <a:solidFill>
              <a:srgbClr val="FFFFFF"/>
            </a:solidFill>
          </xdr:grpSpPr>
          <xdr:sp>
            <xdr:nvSpPr>
              <xdr:cNvPr id="31" name="AutoShape 180"/>
              <xdr:cNvSpPr>
                <a:spLocks/>
              </xdr:cNvSpPr>
            </xdr:nvSpPr>
            <xdr:spPr>
              <a:xfrm flipH="1">
                <a:off x="2969"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AutoShape 181"/>
              <xdr:cNvSpPr>
                <a:spLocks/>
              </xdr:cNvSpPr>
            </xdr:nvSpPr>
            <xdr:spPr>
              <a:xfrm flipH="1">
                <a:off x="3024"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AutoShape 182"/>
              <xdr:cNvSpPr>
                <a:spLocks/>
              </xdr:cNvSpPr>
            </xdr:nvSpPr>
            <xdr:spPr>
              <a:xfrm flipH="1">
                <a:off x="3072"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4" name="AutoShape 183"/>
            <xdr:cNvSpPr>
              <a:spLocks/>
            </xdr:cNvSpPr>
          </xdr:nvSpPr>
          <xdr:spPr>
            <a:xfrm>
              <a:off x="3330" y="2901"/>
              <a:ext cx="107" cy="18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AutoShape 184"/>
            <xdr:cNvSpPr>
              <a:spLocks/>
            </xdr:cNvSpPr>
          </xdr:nvSpPr>
          <xdr:spPr>
            <a:xfrm>
              <a:off x="3276" y="3000"/>
              <a:ext cx="59"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AutoShape 185"/>
            <xdr:cNvSpPr>
              <a:spLocks/>
            </xdr:cNvSpPr>
          </xdr:nvSpPr>
          <xdr:spPr>
            <a:xfrm>
              <a:off x="3429" y="2880"/>
              <a:ext cx="58"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37" name="Group 186"/>
            <xdr:cNvGrpSpPr>
              <a:grpSpLocks/>
            </xdr:cNvGrpSpPr>
          </xdr:nvGrpSpPr>
          <xdr:grpSpPr>
            <a:xfrm>
              <a:off x="3429" y="2880"/>
              <a:ext cx="366" cy="222"/>
              <a:chOff x="2969" y="2880"/>
              <a:chExt cx="158" cy="96"/>
            </a:xfrm>
            <a:solidFill>
              <a:srgbClr val="FFFFFF"/>
            </a:solidFill>
          </xdr:grpSpPr>
          <xdr:sp>
            <xdr:nvSpPr>
              <xdr:cNvPr id="38" name="AutoShape 187"/>
              <xdr:cNvSpPr>
                <a:spLocks/>
              </xdr:cNvSpPr>
            </xdr:nvSpPr>
            <xdr:spPr>
              <a:xfrm flipH="1">
                <a:off x="2969"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AutoShape 188"/>
              <xdr:cNvSpPr>
                <a:spLocks/>
              </xdr:cNvSpPr>
            </xdr:nvSpPr>
            <xdr:spPr>
              <a:xfrm flipH="1">
                <a:off x="3024"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AutoShape 189"/>
              <xdr:cNvSpPr>
                <a:spLocks/>
              </xdr:cNvSpPr>
            </xdr:nvSpPr>
            <xdr:spPr>
              <a:xfrm flipH="1">
                <a:off x="3072"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sp>
        <xdr:nvSpPr>
          <xdr:cNvPr id="41" name="AutoShape 190"/>
          <xdr:cNvSpPr>
            <a:spLocks/>
          </xdr:cNvSpPr>
        </xdr:nvSpPr>
        <xdr:spPr>
          <a:xfrm flipH="1">
            <a:off x="2835" y="1083"/>
            <a:ext cx="19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AutoShape 191"/>
          <xdr:cNvSpPr>
            <a:spLocks/>
          </xdr:cNvSpPr>
        </xdr:nvSpPr>
        <xdr:spPr>
          <a:xfrm flipV="1">
            <a:off x="3472" y="818"/>
            <a:ext cx="0" cy="120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3" name="Group 192"/>
          <xdr:cNvGrpSpPr>
            <a:grpSpLocks/>
          </xdr:cNvGrpSpPr>
        </xdr:nvGrpSpPr>
        <xdr:grpSpPr>
          <a:xfrm>
            <a:off x="3381" y="561"/>
            <a:ext cx="589" cy="257"/>
            <a:chOff x="3126" y="1293"/>
            <a:chExt cx="589" cy="257"/>
          </a:xfrm>
          <a:solidFill>
            <a:srgbClr val="FFFFFF"/>
          </a:solidFill>
        </xdr:grpSpPr>
        <xdr:sp>
          <xdr:nvSpPr>
            <xdr:cNvPr id="44" name="AutoShape 193"/>
            <xdr:cNvSpPr>
              <a:spLocks/>
            </xdr:cNvSpPr>
          </xdr:nvSpPr>
          <xdr:spPr>
            <a:xfrm>
              <a:off x="3126" y="1293"/>
              <a:ext cx="0" cy="25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AutoShape 194"/>
            <xdr:cNvSpPr>
              <a:spLocks/>
            </xdr:cNvSpPr>
          </xdr:nvSpPr>
          <xdr:spPr>
            <a:xfrm>
              <a:off x="3273" y="1293"/>
              <a:ext cx="0" cy="25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6" name="AutoShape 195"/>
            <xdr:cNvSpPr>
              <a:spLocks/>
            </xdr:cNvSpPr>
          </xdr:nvSpPr>
          <xdr:spPr>
            <a:xfrm>
              <a:off x="3420" y="1293"/>
              <a:ext cx="0" cy="25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7" name="AutoShape 196"/>
            <xdr:cNvSpPr>
              <a:spLocks/>
            </xdr:cNvSpPr>
          </xdr:nvSpPr>
          <xdr:spPr>
            <a:xfrm>
              <a:off x="3567" y="1293"/>
              <a:ext cx="0" cy="25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AutoShape 197"/>
            <xdr:cNvSpPr>
              <a:spLocks/>
            </xdr:cNvSpPr>
          </xdr:nvSpPr>
          <xdr:spPr>
            <a:xfrm>
              <a:off x="3715" y="1293"/>
              <a:ext cx="0" cy="25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49" name="AutoShape 198"/>
          <xdr:cNvSpPr>
            <a:spLocks/>
          </xdr:cNvSpPr>
        </xdr:nvSpPr>
        <xdr:spPr>
          <a:xfrm>
            <a:off x="3382" y="558"/>
            <a:ext cx="67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51" name="Group 200"/>
          <xdr:cNvGrpSpPr>
            <a:grpSpLocks/>
          </xdr:cNvGrpSpPr>
        </xdr:nvGrpSpPr>
        <xdr:grpSpPr>
          <a:xfrm>
            <a:off x="1487" y="1296"/>
            <a:ext cx="628" cy="412"/>
            <a:chOff x="1381" y="1951"/>
            <a:chExt cx="628" cy="412"/>
          </a:xfrm>
          <a:solidFill>
            <a:srgbClr val="FFFFFF"/>
          </a:solidFill>
        </xdr:grpSpPr>
        <xdr:grpSp>
          <xdr:nvGrpSpPr>
            <xdr:cNvPr id="53" name="Group 202"/>
            <xdr:cNvGrpSpPr>
              <a:grpSpLocks/>
            </xdr:cNvGrpSpPr>
          </xdr:nvGrpSpPr>
          <xdr:grpSpPr>
            <a:xfrm>
              <a:off x="1500" y="2118"/>
              <a:ext cx="245" cy="245"/>
              <a:chOff x="1415" y="430"/>
              <a:chExt cx="245" cy="245"/>
            </a:xfrm>
            <a:solidFill>
              <a:srgbClr val="FFFFFF"/>
            </a:solidFill>
          </xdr:grpSpPr>
          <xdr:sp>
            <xdr:nvSpPr>
              <xdr:cNvPr id="54" name="AutoShape 203"/>
              <xdr:cNvSpPr>
                <a:spLocks/>
              </xdr:cNvSpPr>
            </xdr:nvSpPr>
            <xdr:spPr>
              <a:xfrm>
                <a:off x="1415" y="430"/>
                <a:ext cx="245" cy="24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AutoShape 204"/>
              <xdr:cNvSpPr>
                <a:spLocks/>
              </xdr:cNvSpPr>
            </xdr:nvSpPr>
            <xdr:spPr>
              <a:xfrm flipH="1">
                <a:off x="1415" y="430"/>
                <a:ext cx="245" cy="24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56" name="Group 205"/>
          <xdr:cNvGrpSpPr>
            <a:grpSpLocks/>
          </xdr:cNvGrpSpPr>
        </xdr:nvGrpSpPr>
        <xdr:grpSpPr>
          <a:xfrm>
            <a:off x="2972" y="1266"/>
            <a:ext cx="507" cy="462"/>
            <a:chOff x="2866" y="2056"/>
            <a:chExt cx="507" cy="462"/>
          </a:xfrm>
          <a:solidFill>
            <a:srgbClr val="FFFFFF"/>
          </a:solidFill>
        </xdr:grpSpPr>
        <xdr:sp>
          <xdr:nvSpPr>
            <xdr:cNvPr id="58" name="AutoShape 207"/>
            <xdr:cNvSpPr>
              <a:spLocks/>
            </xdr:cNvSpPr>
          </xdr:nvSpPr>
          <xdr:spPr>
            <a:xfrm>
              <a:off x="2899" y="2242"/>
              <a:ext cx="276" cy="276"/>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editAs="oneCell">
    <xdr:from>
      <xdr:col>9</xdr:col>
      <xdr:colOff>314325</xdr:colOff>
      <xdr:row>55</xdr:row>
      <xdr:rowOff>66675</xdr:rowOff>
    </xdr:from>
    <xdr:to>
      <xdr:col>12</xdr:col>
      <xdr:colOff>123825</xdr:colOff>
      <xdr:row>64</xdr:row>
      <xdr:rowOff>180975</xdr:rowOff>
    </xdr:to>
    <xdr:pic>
      <xdr:nvPicPr>
        <xdr:cNvPr id="59" name="Picture 208"/>
        <xdr:cNvPicPr preferRelativeResize="1">
          <a:picLocks noChangeAspect="1"/>
        </xdr:cNvPicPr>
      </xdr:nvPicPr>
      <xdr:blipFill>
        <a:blip r:embed="rId2"/>
        <a:stretch>
          <a:fillRect/>
        </a:stretch>
      </xdr:blipFill>
      <xdr:spPr>
        <a:xfrm>
          <a:off x="5962650" y="12992100"/>
          <a:ext cx="1866900" cy="2171700"/>
        </a:xfrm>
        <a:prstGeom prst="rect">
          <a:avLst/>
        </a:prstGeom>
        <a:noFill/>
        <a:ln w="9525" cmpd="sng">
          <a:noFill/>
        </a:ln>
      </xdr:spPr>
    </xdr:pic>
    <xdr:clientData/>
  </xdr:twoCellAnchor>
  <xdr:twoCellAnchor editAs="oneCell">
    <xdr:from>
      <xdr:col>6</xdr:col>
      <xdr:colOff>19050</xdr:colOff>
      <xdr:row>0</xdr:row>
      <xdr:rowOff>123825</xdr:rowOff>
    </xdr:from>
    <xdr:to>
      <xdr:col>13</xdr:col>
      <xdr:colOff>533400</xdr:colOff>
      <xdr:row>24</xdr:row>
      <xdr:rowOff>95250</xdr:rowOff>
    </xdr:to>
    <xdr:pic>
      <xdr:nvPicPr>
        <xdr:cNvPr id="60" name="Picture 209"/>
        <xdr:cNvPicPr preferRelativeResize="1">
          <a:picLocks noChangeAspect="1"/>
        </xdr:cNvPicPr>
      </xdr:nvPicPr>
      <xdr:blipFill>
        <a:blip r:embed="rId3"/>
        <a:stretch>
          <a:fillRect/>
        </a:stretch>
      </xdr:blipFill>
      <xdr:spPr>
        <a:xfrm>
          <a:off x="3609975" y="123825"/>
          <a:ext cx="5314950" cy="5457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657225</xdr:colOff>
      <xdr:row>132</xdr:row>
      <xdr:rowOff>123825</xdr:rowOff>
    </xdr:from>
    <xdr:to>
      <xdr:col>6</xdr:col>
      <xdr:colOff>171450</xdr:colOff>
      <xdr:row>141</xdr:row>
      <xdr:rowOff>161925</xdr:rowOff>
    </xdr:to>
    <xdr:pic>
      <xdr:nvPicPr>
        <xdr:cNvPr id="1" name="Picture 136"/>
        <xdr:cNvPicPr preferRelativeResize="1">
          <a:picLocks noChangeAspect="1"/>
        </xdr:cNvPicPr>
      </xdr:nvPicPr>
      <xdr:blipFill>
        <a:blip r:embed="rId1"/>
        <a:stretch>
          <a:fillRect/>
        </a:stretch>
      </xdr:blipFill>
      <xdr:spPr>
        <a:xfrm>
          <a:off x="1343025" y="30299025"/>
          <a:ext cx="2952750" cy="2095500"/>
        </a:xfrm>
        <a:prstGeom prst="rect">
          <a:avLst/>
        </a:prstGeom>
        <a:noFill/>
        <a:ln w="9525" cmpd="sng">
          <a:noFill/>
        </a:ln>
      </xdr:spPr>
    </xdr:pic>
    <xdr:clientData/>
  </xdr:twoCellAnchor>
  <xdr:twoCellAnchor editAs="oneCell">
    <xdr:from>
      <xdr:col>1</xdr:col>
      <xdr:colOff>609600</xdr:colOff>
      <xdr:row>116</xdr:row>
      <xdr:rowOff>209550</xdr:rowOff>
    </xdr:from>
    <xdr:to>
      <xdr:col>5</xdr:col>
      <xdr:colOff>647700</xdr:colOff>
      <xdr:row>130</xdr:row>
      <xdr:rowOff>190500</xdr:rowOff>
    </xdr:to>
    <xdr:pic>
      <xdr:nvPicPr>
        <xdr:cNvPr id="2" name="Picture 138"/>
        <xdr:cNvPicPr preferRelativeResize="1">
          <a:picLocks noChangeAspect="1"/>
        </xdr:cNvPicPr>
      </xdr:nvPicPr>
      <xdr:blipFill>
        <a:blip r:embed="rId2"/>
        <a:stretch>
          <a:fillRect/>
        </a:stretch>
      </xdr:blipFill>
      <xdr:spPr>
        <a:xfrm>
          <a:off x="1295400" y="26727150"/>
          <a:ext cx="2790825" cy="3181350"/>
        </a:xfrm>
        <a:prstGeom prst="rect">
          <a:avLst/>
        </a:prstGeom>
        <a:noFill/>
        <a:ln w="9525" cmpd="sng">
          <a:noFill/>
        </a:ln>
      </xdr:spPr>
    </xdr:pic>
    <xdr:clientData/>
  </xdr:twoCellAnchor>
  <xdr:twoCellAnchor editAs="oneCell">
    <xdr:from>
      <xdr:col>1</xdr:col>
      <xdr:colOff>285750</xdr:colOff>
      <xdr:row>164</xdr:row>
      <xdr:rowOff>85725</xdr:rowOff>
    </xdr:from>
    <xdr:to>
      <xdr:col>6</xdr:col>
      <xdr:colOff>200025</xdr:colOff>
      <xdr:row>179</xdr:row>
      <xdr:rowOff>200025</xdr:rowOff>
    </xdr:to>
    <xdr:pic>
      <xdr:nvPicPr>
        <xdr:cNvPr id="3" name="Picture 139"/>
        <xdr:cNvPicPr preferRelativeResize="1">
          <a:picLocks noChangeAspect="1"/>
        </xdr:cNvPicPr>
      </xdr:nvPicPr>
      <xdr:blipFill>
        <a:blip r:embed="rId3"/>
        <a:stretch>
          <a:fillRect/>
        </a:stretch>
      </xdr:blipFill>
      <xdr:spPr>
        <a:xfrm>
          <a:off x="971550" y="37576125"/>
          <a:ext cx="3352800" cy="3543300"/>
        </a:xfrm>
        <a:prstGeom prst="rect">
          <a:avLst/>
        </a:prstGeom>
        <a:noFill/>
        <a:ln w="9525" cmpd="sng">
          <a:noFill/>
        </a:ln>
      </xdr:spPr>
    </xdr:pic>
    <xdr:clientData/>
  </xdr:twoCellAnchor>
  <xdr:twoCellAnchor editAs="oneCell">
    <xdr:from>
      <xdr:col>1</xdr:col>
      <xdr:colOff>66675</xdr:colOff>
      <xdr:row>212</xdr:row>
      <xdr:rowOff>104775</xdr:rowOff>
    </xdr:from>
    <xdr:to>
      <xdr:col>7</xdr:col>
      <xdr:colOff>161925</xdr:colOff>
      <xdr:row>228</xdr:row>
      <xdr:rowOff>47625</xdr:rowOff>
    </xdr:to>
    <xdr:pic>
      <xdr:nvPicPr>
        <xdr:cNvPr id="4" name="Picture 146"/>
        <xdr:cNvPicPr preferRelativeResize="1">
          <a:picLocks noChangeAspect="1"/>
        </xdr:cNvPicPr>
      </xdr:nvPicPr>
      <xdr:blipFill>
        <a:blip r:embed="rId4"/>
        <a:stretch>
          <a:fillRect/>
        </a:stretch>
      </xdr:blipFill>
      <xdr:spPr>
        <a:xfrm>
          <a:off x="752475" y="48567975"/>
          <a:ext cx="4219575" cy="3600450"/>
        </a:xfrm>
        <a:prstGeom prst="rect">
          <a:avLst/>
        </a:prstGeom>
        <a:noFill/>
        <a:ln w="9525" cmpd="sng">
          <a:noFill/>
        </a:ln>
      </xdr:spPr>
    </xdr:pic>
    <xdr:clientData/>
  </xdr:twoCellAnchor>
  <xdr:twoCellAnchor editAs="oneCell">
    <xdr:from>
      <xdr:col>1</xdr:col>
      <xdr:colOff>219075</xdr:colOff>
      <xdr:row>262</xdr:row>
      <xdr:rowOff>104775</xdr:rowOff>
    </xdr:from>
    <xdr:to>
      <xdr:col>4</xdr:col>
      <xdr:colOff>247650</xdr:colOff>
      <xdr:row>265</xdr:row>
      <xdr:rowOff>171450</xdr:rowOff>
    </xdr:to>
    <xdr:pic>
      <xdr:nvPicPr>
        <xdr:cNvPr id="5" name="Picture 150"/>
        <xdr:cNvPicPr preferRelativeResize="1">
          <a:picLocks noChangeAspect="1"/>
        </xdr:cNvPicPr>
      </xdr:nvPicPr>
      <xdr:blipFill>
        <a:blip r:embed="rId5"/>
        <a:stretch>
          <a:fillRect/>
        </a:stretch>
      </xdr:blipFill>
      <xdr:spPr>
        <a:xfrm>
          <a:off x="904875" y="59997975"/>
          <a:ext cx="2095500" cy="752475"/>
        </a:xfrm>
        <a:prstGeom prst="rect">
          <a:avLst/>
        </a:prstGeom>
        <a:noFill/>
        <a:ln w="9525" cmpd="sng">
          <a:noFill/>
        </a:ln>
      </xdr:spPr>
    </xdr:pic>
    <xdr:clientData/>
  </xdr:twoCellAnchor>
  <xdr:twoCellAnchor editAs="oneCell">
    <xdr:from>
      <xdr:col>1</xdr:col>
      <xdr:colOff>276225</xdr:colOff>
      <xdr:row>324</xdr:row>
      <xdr:rowOff>142875</xdr:rowOff>
    </xdr:from>
    <xdr:to>
      <xdr:col>3</xdr:col>
      <xdr:colOff>47625</xdr:colOff>
      <xdr:row>326</xdr:row>
      <xdr:rowOff>123825</xdr:rowOff>
    </xdr:to>
    <xdr:pic>
      <xdr:nvPicPr>
        <xdr:cNvPr id="6" name="Picture 154"/>
        <xdr:cNvPicPr preferRelativeResize="1">
          <a:picLocks noChangeAspect="1"/>
        </xdr:cNvPicPr>
      </xdr:nvPicPr>
      <xdr:blipFill>
        <a:blip r:embed="rId6"/>
        <a:stretch>
          <a:fillRect/>
        </a:stretch>
      </xdr:blipFill>
      <xdr:spPr>
        <a:xfrm>
          <a:off x="962025" y="74209275"/>
          <a:ext cx="1143000" cy="438150"/>
        </a:xfrm>
        <a:prstGeom prst="rect">
          <a:avLst/>
        </a:prstGeom>
        <a:noFill/>
        <a:ln w="9525" cmpd="sng">
          <a:noFill/>
        </a:ln>
      </xdr:spPr>
    </xdr:pic>
    <xdr:clientData/>
  </xdr:twoCellAnchor>
  <xdr:twoCellAnchor editAs="oneCell">
    <xdr:from>
      <xdr:col>1</xdr:col>
      <xdr:colOff>276225</xdr:colOff>
      <xdr:row>327</xdr:row>
      <xdr:rowOff>171450</xdr:rowOff>
    </xdr:from>
    <xdr:to>
      <xdr:col>3</xdr:col>
      <xdr:colOff>628650</xdr:colOff>
      <xdr:row>329</xdr:row>
      <xdr:rowOff>123825</xdr:rowOff>
    </xdr:to>
    <xdr:pic>
      <xdr:nvPicPr>
        <xdr:cNvPr id="7" name="Picture 156"/>
        <xdr:cNvPicPr preferRelativeResize="1">
          <a:picLocks noChangeAspect="1"/>
        </xdr:cNvPicPr>
      </xdr:nvPicPr>
      <xdr:blipFill>
        <a:blip r:embed="rId7"/>
        <a:stretch>
          <a:fillRect/>
        </a:stretch>
      </xdr:blipFill>
      <xdr:spPr>
        <a:xfrm>
          <a:off x="962025" y="74923650"/>
          <a:ext cx="1724025" cy="409575"/>
        </a:xfrm>
        <a:prstGeom prst="rect">
          <a:avLst/>
        </a:prstGeom>
        <a:noFill/>
        <a:ln w="9525" cmpd="sng">
          <a:noFill/>
        </a:ln>
      </xdr:spPr>
    </xdr:pic>
    <xdr:clientData/>
  </xdr:twoCellAnchor>
  <xdr:twoCellAnchor editAs="oneCell">
    <xdr:from>
      <xdr:col>1</xdr:col>
      <xdr:colOff>533400</xdr:colOff>
      <xdr:row>576</xdr:row>
      <xdr:rowOff>161925</xdr:rowOff>
    </xdr:from>
    <xdr:to>
      <xdr:col>3</xdr:col>
      <xdr:colOff>628650</xdr:colOff>
      <xdr:row>578</xdr:row>
      <xdr:rowOff>57150</xdr:rowOff>
    </xdr:to>
    <xdr:pic>
      <xdr:nvPicPr>
        <xdr:cNvPr id="8" name="Picture 166"/>
        <xdr:cNvPicPr preferRelativeResize="1">
          <a:picLocks noChangeAspect="1"/>
        </xdr:cNvPicPr>
      </xdr:nvPicPr>
      <xdr:blipFill>
        <a:blip r:embed="rId8"/>
        <a:stretch>
          <a:fillRect/>
        </a:stretch>
      </xdr:blipFill>
      <xdr:spPr>
        <a:xfrm>
          <a:off x="1219200" y="131835525"/>
          <a:ext cx="1466850" cy="352425"/>
        </a:xfrm>
        <a:prstGeom prst="rect">
          <a:avLst/>
        </a:prstGeom>
        <a:noFill/>
        <a:ln w="9525" cmpd="sng">
          <a:noFill/>
        </a:ln>
      </xdr:spPr>
    </xdr:pic>
    <xdr:clientData/>
  </xdr:twoCellAnchor>
  <xdr:twoCellAnchor editAs="oneCell">
    <xdr:from>
      <xdr:col>1</xdr:col>
      <xdr:colOff>180975</xdr:colOff>
      <xdr:row>581</xdr:row>
      <xdr:rowOff>9525</xdr:rowOff>
    </xdr:from>
    <xdr:to>
      <xdr:col>3</xdr:col>
      <xdr:colOff>9525</xdr:colOff>
      <xdr:row>583</xdr:row>
      <xdr:rowOff>47625</xdr:rowOff>
    </xdr:to>
    <xdr:pic>
      <xdr:nvPicPr>
        <xdr:cNvPr id="9" name="Picture 167"/>
        <xdr:cNvPicPr preferRelativeResize="1">
          <a:picLocks noChangeAspect="1"/>
        </xdr:cNvPicPr>
      </xdr:nvPicPr>
      <xdr:blipFill>
        <a:blip r:embed="rId9"/>
        <a:stretch>
          <a:fillRect/>
        </a:stretch>
      </xdr:blipFill>
      <xdr:spPr>
        <a:xfrm>
          <a:off x="866775" y="132826125"/>
          <a:ext cx="1200150" cy="495300"/>
        </a:xfrm>
        <a:prstGeom prst="rect">
          <a:avLst/>
        </a:prstGeom>
        <a:noFill/>
        <a:ln w="9525" cmpd="sng">
          <a:noFill/>
        </a:ln>
      </xdr:spPr>
    </xdr:pic>
    <xdr:clientData/>
  </xdr:twoCellAnchor>
  <xdr:twoCellAnchor editAs="oneCell">
    <xdr:from>
      <xdr:col>1</xdr:col>
      <xdr:colOff>285750</xdr:colOff>
      <xdr:row>586</xdr:row>
      <xdr:rowOff>0</xdr:rowOff>
    </xdr:from>
    <xdr:to>
      <xdr:col>2</xdr:col>
      <xdr:colOff>666750</xdr:colOff>
      <xdr:row>588</xdr:row>
      <xdr:rowOff>28575</xdr:rowOff>
    </xdr:to>
    <xdr:pic>
      <xdr:nvPicPr>
        <xdr:cNvPr id="10" name="Picture 168"/>
        <xdr:cNvPicPr preferRelativeResize="1">
          <a:picLocks noChangeAspect="1"/>
        </xdr:cNvPicPr>
      </xdr:nvPicPr>
      <xdr:blipFill>
        <a:blip r:embed="rId10"/>
        <a:stretch>
          <a:fillRect/>
        </a:stretch>
      </xdr:blipFill>
      <xdr:spPr>
        <a:xfrm>
          <a:off x="971550" y="133959600"/>
          <a:ext cx="1066800" cy="485775"/>
        </a:xfrm>
        <a:prstGeom prst="rect">
          <a:avLst/>
        </a:prstGeom>
        <a:noFill/>
        <a:ln w="9525" cmpd="sng">
          <a:noFill/>
        </a:ln>
      </xdr:spPr>
    </xdr:pic>
    <xdr:clientData/>
  </xdr:twoCellAnchor>
  <xdr:twoCellAnchor editAs="oneCell">
    <xdr:from>
      <xdr:col>1</xdr:col>
      <xdr:colOff>371475</xdr:colOff>
      <xdr:row>591</xdr:row>
      <xdr:rowOff>0</xdr:rowOff>
    </xdr:from>
    <xdr:to>
      <xdr:col>2</xdr:col>
      <xdr:colOff>466725</xdr:colOff>
      <xdr:row>592</xdr:row>
      <xdr:rowOff>200025</xdr:rowOff>
    </xdr:to>
    <xdr:pic>
      <xdr:nvPicPr>
        <xdr:cNvPr id="11" name="Picture 169"/>
        <xdr:cNvPicPr preferRelativeResize="1">
          <a:picLocks noChangeAspect="1"/>
        </xdr:cNvPicPr>
      </xdr:nvPicPr>
      <xdr:blipFill>
        <a:blip r:embed="rId11"/>
        <a:stretch>
          <a:fillRect/>
        </a:stretch>
      </xdr:blipFill>
      <xdr:spPr>
        <a:xfrm>
          <a:off x="1057275" y="135102600"/>
          <a:ext cx="781050" cy="428625"/>
        </a:xfrm>
        <a:prstGeom prst="rect">
          <a:avLst/>
        </a:prstGeom>
        <a:noFill/>
        <a:ln w="9525" cmpd="sng">
          <a:noFill/>
        </a:ln>
      </xdr:spPr>
    </xdr:pic>
    <xdr:clientData/>
  </xdr:twoCellAnchor>
  <xdr:twoCellAnchor editAs="oneCell">
    <xdr:from>
      <xdr:col>1</xdr:col>
      <xdr:colOff>533400</xdr:colOff>
      <xdr:row>463</xdr:row>
      <xdr:rowOff>161925</xdr:rowOff>
    </xdr:from>
    <xdr:to>
      <xdr:col>3</xdr:col>
      <xdr:colOff>628650</xdr:colOff>
      <xdr:row>465</xdr:row>
      <xdr:rowOff>57150</xdr:rowOff>
    </xdr:to>
    <xdr:pic>
      <xdr:nvPicPr>
        <xdr:cNvPr id="12" name="Picture 174"/>
        <xdr:cNvPicPr preferRelativeResize="1">
          <a:picLocks noChangeAspect="1"/>
        </xdr:cNvPicPr>
      </xdr:nvPicPr>
      <xdr:blipFill>
        <a:blip r:embed="rId8"/>
        <a:stretch>
          <a:fillRect/>
        </a:stretch>
      </xdr:blipFill>
      <xdr:spPr>
        <a:xfrm>
          <a:off x="1219200" y="106003725"/>
          <a:ext cx="1466850" cy="352425"/>
        </a:xfrm>
        <a:prstGeom prst="rect">
          <a:avLst/>
        </a:prstGeom>
        <a:noFill/>
        <a:ln w="9525" cmpd="sng">
          <a:noFill/>
        </a:ln>
      </xdr:spPr>
    </xdr:pic>
    <xdr:clientData/>
  </xdr:twoCellAnchor>
  <xdr:twoCellAnchor editAs="oneCell">
    <xdr:from>
      <xdr:col>1</xdr:col>
      <xdr:colOff>180975</xdr:colOff>
      <xdr:row>468</xdr:row>
      <xdr:rowOff>9525</xdr:rowOff>
    </xdr:from>
    <xdr:to>
      <xdr:col>3</xdr:col>
      <xdr:colOff>9525</xdr:colOff>
      <xdr:row>470</xdr:row>
      <xdr:rowOff>47625</xdr:rowOff>
    </xdr:to>
    <xdr:pic>
      <xdr:nvPicPr>
        <xdr:cNvPr id="13" name="Picture 175"/>
        <xdr:cNvPicPr preferRelativeResize="1">
          <a:picLocks noChangeAspect="1"/>
        </xdr:cNvPicPr>
      </xdr:nvPicPr>
      <xdr:blipFill>
        <a:blip r:embed="rId9"/>
        <a:stretch>
          <a:fillRect/>
        </a:stretch>
      </xdr:blipFill>
      <xdr:spPr>
        <a:xfrm>
          <a:off x="866775" y="106994325"/>
          <a:ext cx="1200150" cy="495300"/>
        </a:xfrm>
        <a:prstGeom prst="rect">
          <a:avLst/>
        </a:prstGeom>
        <a:noFill/>
        <a:ln w="9525" cmpd="sng">
          <a:noFill/>
        </a:ln>
      </xdr:spPr>
    </xdr:pic>
    <xdr:clientData/>
  </xdr:twoCellAnchor>
  <xdr:twoCellAnchor editAs="oneCell">
    <xdr:from>
      <xdr:col>1</xdr:col>
      <xdr:colOff>285750</xdr:colOff>
      <xdr:row>473</xdr:row>
      <xdr:rowOff>0</xdr:rowOff>
    </xdr:from>
    <xdr:to>
      <xdr:col>2</xdr:col>
      <xdr:colOff>666750</xdr:colOff>
      <xdr:row>475</xdr:row>
      <xdr:rowOff>28575</xdr:rowOff>
    </xdr:to>
    <xdr:pic>
      <xdr:nvPicPr>
        <xdr:cNvPr id="14" name="Picture 176"/>
        <xdr:cNvPicPr preferRelativeResize="1">
          <a:picLocks noChangeAspect="1"/>
        </xdr:cNvPicPr>
      </xdr:nvPicPr>
      <xdr:blipFill>
        <a:blip r:embed="rId10"/>
        <a:stretch>
          <a:fillRect/>
        </a:stretch>
      </xdr:blipFill>
      <xdr:spPr>
        <a:xfrm>
          <a:off x="971550" y="108127800"/>
          <a:ext cx="1066800" cy="485775"/>
        </a:xfrm>
        <a:prstGeom prst="rect">
          <a:avLst/>
        </a:prstGeom>
        <a:noFill/>
        <a:ln w="9525" cmpd="sng">
          <a:noFill/>
        </a:ln>
      </xdr:spPr>
    </xdr:pic>
    <xdr:clientData/>
  </xdr:twoCellAnchor>
  <xdr:twoCellAnchor editAs="oneCell">
    <xdr:from>
      <xdr:col>1</xdr:col>
      <xdr:colOff>371475</xdr:colOff>
      <xdr:row>478</xdr:row>
      <xdr:rowOff>0</xdr:rowOff>
    </xdr:from>
    <xdr:to>
      <xdr:col>2</xdr:col>
      <xdr:colOff>466725</xdr:colOff>
      <xdr:row>479</xdr:row>
      <xdr:rowOff>200025</xdr:rowOff>
    </xdr:to>
    <xdr:pic>
      <xdr:nvPicPr>
        <xdr:cNvPr id="15" name="Picture 177"/>
        <xdr:cNvPicPr preferRelativeResize="1">
          <a:picLocks noChangeAspect="1"/>
        </xdr:cNvPicPr>
      </xdr:nvPicPr>
      <xdr:blipFill>
        <a:blip r:embed="rId11"/>
        <a:stretch>
          <a:fillRect/>
        </a:stretch>
      </xdr:blipFill>
      <xdr:spPr>
        <a:xfrm>
          <a:off x="1057275" y="109270800"/>
          <a:ext cx="781050" cy="428625"/>
        </a:xfrm>
        <a:prstGeom prst="rect">
          <a:avLst/>
        </a:prstGeom>
        <a:noFill/>
        <a:ln w="9525" cmpd="sng">
          <a:noFill/>
        </a:ln>
      </xdr:spPr>
    </xdr:pic>
    <xdr:clientData/>
  </xdr:twoCellAnchor>
  <xdr:twoCellAnchor>
    <xdr:from>
      <xdr:col>0</xdr:col>
      <xdr:colOff>657225</xdr:colOff>
      <xdr:row>398</xdr:row>
      <xdr:rowOff>95250</xdr:rowOff>
    </xdr:from>
    <xdr:to>
      <xdr:col>7</xdr:col>
      <xdr:colOff>314325</xdr:colOff>
      <xdr:row>410</xdr:row>
      <xdr:rowOff>104775</xdr:rowOff>
    </xdr:to>
    <xdr:graphicFrame>
      <xdr:nvGraphicFramePr>
        <xdr:cNvPr id="16" name="Chart 181"/>
        <xdr:cNvGraphicFramePr/>
      </xdr:nvGraphicFramePr>
      <xdr:xfrm>
        <a:off x="657225" y="91078050"/>
        <a:ext cx="4467225" cy="2752725"/>
      </xdr:xfrm>
      <a:graphic>
        <a:graphicData uri="http://schemas.openxmlformats.org/drawingml/2006/chart">
          <c:chart xmlns:c="http://schemas.openxmlformats.org/drawingml/2006/chart" r:id="rId12"/>
        </a:graphicData>
      </a:graphic>
    </xdr:graphicFrame>
    <xdr:clientData/>
  </xdr:twoCellAnchor>
  <xdr:twoCellAnchor editAs="oneCell">
    <xdr:from>
      <xdr:col>0</xdr:col>
      <xdr:colOff>447675</xdr:colOff>
      <xdr:row>347</xdr:row>
      <xdr:rowOff>104775</xdr:rowOff>
    </xdr:from>
    <xdr:to>
      <xdr:col>5</xdr:col>
      <xdr:colOff>581025</xdr:colOff>
      <xdr:row>364</xdr:row>
      <xdr:rowOff>142875</xdr:rowOff>
    </xdr:to>
    <xdr:pic>
      <xdr:nvPicPr>
        <xdr:cNvPr id="17" name="Picture 183"/>
        <xdr:cNvPicPr preferRelativeResize="1">
          <a:picLocks noChangeAspect="1"/>
        </xdr:cNvPicPr>
      </xdr:nvPicPr>
      <xdr:blipFill>
        <a:blip r:embed="rId13"/>
        <a:stretch>
          <a:fillRect/>
        </a:stretch>
      </xdr:blipFill>
      <xdr:spPr>
        <a:xfrm>
          <a:off x="447675" y="79428975"/>
          <a:ext cx="3571875" cy="3924300"/>
        </a:xfrm>
        <a:prstGeom prst="rect">
          <a:avLst/>
        </a:prstGeom>
        <a:noFill/>
        <a:ln w="9525" cmpd="sng">
          <a:noFill/>
        </a:ln>
      </xdr:spPr>
    </xdr:pic>
    <xdr:clientData/>
  </xdr:twoCellAnchor>
  <xdr:twoCellAnchor editAs="oneCell">
    <xdr:from>
      <xdr:col>0</xdr:col>
      <xdr:colOff>400050</xdr:colOff>
      <xdr:row>423</xdr:row>
      <xdr:rowOff>161925</xdr:rowOff>
    </xdr:from>
    <xdr:to>
      <xdr:col>8</xdr:col>
      <xdr:colOff>200025</xdr:colOff>
      <xdr:row>443</xdr:row>
      <xdr:rowOff>76200</xdr:rowOff>
    </xdr:to>
    <xdr:pic>
      <xdr:nvPicPr>
        <xdr:cNvPr id="18" name="Picture 190"/>
        <xdr:cNvPicPr preferRelativeResize="1">
          <a:picLocks noChangeAspect="1"/>
        </xdr:cNvPicPr>
      </xdr:nvPicPr>
      <xdr:blipFill>
        <a:blip r:embed="rId14"/>
        <a:stretch>
          <a:fillRect/>
        </a:stretch>
      </xdr:blipFill>
      <xdr:spPr>
        <a:xfrm>
          <a:off x="400050" y="96859725"/>
          <a:ext cx="5295900" cy="4486275"/>
        </a:xfrm>
        <a:prstGeom prst="rect">
          <a:avLst/>
        </a:prstGeom>
        <a:noFill/>
        <a:ln w="9525" cmpd="sng">
          <a:noFill/>
        </a:ln>
      </xdr:spPr>
    </xdr:pic>
    <xdr:clientData/>
  </xdr:twoCellAnchor>
  <xdr:twoCellAnchor editAs="oneCell">
    <xdr:from>
      <xdr:col>0</xdr:col>
      <xdr:colOff>95250</xdr:colOff>
      <xdr:row>21</xdr:row>
      <xdr:rowOff>142875</xdr:rowOff>
    </xdr:from>
    <xdr:to>
      <xdr:col>6</xdr:col>
      <xdr:colOff>676275</xdr:colOff>
      <xdr:row>42</xdr:row>
      <xdr:rowOff>190500</xdr:rowOff>
    </xdr:to>
    <xdr:pic>
      <xdr:nvPicPr>
        <xdr:cNvPr id="19" name="Picture 191"/>
        <xdr:cNvPicPr preferRelativeResize="1">
          <a:picLocks noChangeAspect="1"/>
        </xdr:cNvPicPr>
      </xdr:nvPicPr>
      <xdr:blipFill>
        <a:blip r:embed="rId15"/>
        <a:stretch>
          <a:fillRect/>
        </a:stretch>
      </xdr:blipFill>
      <xdr:spPr>
        <a:xfrm>
          <a:off x="95250" y="4943475"/>
          <a:ext cx="4705350" cy="4848225"/>
        </a:xfrm>
        <a:prstGeom prst="rect">
          <a:avLst/>
        </a:prstGeom>
        <a:noFill/>
        <a:ln w="9525" cmpd="sng">
          <a:noFill/>
        </a:ln>
      </xdr:spPr>
    </xdr:pic>
    <xdr:clientData/>
  </xdr:twoCellAnchor>
  <xdr:twoCellAnchor editAs="oneCell">
    <xdr:from>
      <xdr:col>0</xdr:col>
      <xdr:colOff>133350</xdr:colOff>
      <xdr:row>267</xdr:row>
      <xdr:rowOff>123825</xdr:rowOff>
    </xdr:from>
    <xdr:to>
      <xdr:col>8</xdr:col>
      <xdr:colOff>542925</xdr:colOff>
      <xdr:row>281</xdr:row>
      <xdr:rowOff>209550</xdr:rowOff>
    </xdr:to>
    <xdr:pic>
      <xdr:nvPicPr>
        <xdr:cNvPr id="20" name="Picture 194"/>
        <xdr:cNvPicPr preferRelativeResize="1">
          <a:picLocks noChangeAspect="1"/>
        </xdr:cNvPicPr>
      </xdr:nvPicPr>
      <xdr:blipFill>
        <a:blip r:embed="rId16"/>
        <a:stretch>
          <a:fillRect/>
        </a:stretch>
      </xdr:blipFill>
      <xdr:spPr>
        <a:xfrm>
          <a:off x="133350" y="61160025"/>
          <a:ext cx="5905500" cy="3286125"/>
        </a:xfrm>
        <a:prstGeom prst="rect">
          <a:avLst/>
        </a:prstGeom>
        <a:noFill/>
        <a:ln w="9525" cmpd="sng">
          <a:noFill/>
        </a:ln>
      </xdr:spPr>
    </xdr:pic>
    <xdr:clientData/>
  </xdr:twoCellAnchor>
  <xdr:twoCellAnchor>
    <xdr:from>
      <xdr:col>4</xdr:col>
      <xdr:colOff>38100</xdr:colOff>
      <xdr:row>577</xdr:row>
      <xdr:rowOff>9525</xdr:rowOff>
    </xdr:from>
    <xdr:to>
      <xdr:col>6</xdr:col>
      <xdr:colOff>38100</xdr:colOff>
      <xdr:row>577</xdr:row>
      <xdr:rowOff>209550</xdr:rowOff>
    </xdr:to>
    <xdr:sp>
      <xdr:nvSpPr>
        <xdr:cNvPr id="21" name="Polygon 197"/>
        <xdr:cNvSpPr>
          <a:spLocks/>
        </xdr:cNvSpPr>
      </xdr:nvSpPr>
      <xdr:spPr>
        <a:xfrm>
          <a:off x="2790825" y="131911725"/>
          <a:ext cx="1371600" cy="200025"/>
        </a:xfrm>
        <a:custGeom>
          <a:pathLst>
            <a:path h="21" w="144">
              <a:moveTo>
                <a:pt x="0" y="12"/>
              </a:moveTo>
              <a:lnTo>
                <a:pt x="5" y="21"/>
              </a:lnTo>
              <a:lnTo>
                <a:pt x="12" y="0"/>
              </a:lnTo>
              <a:lnTo>
                <a:pt x="14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464</xdr:row>
      <xdr:rowOff>9525</xdr:rowOff>
    </xdr:from>
    <xdr:to>
      <xdr:col>6</xdr:col>
      <xdr:colOff>38100</xdr:colOff>
      <xdr:row>464</xdr:row>
      <xdr:rowOff>209550</xdr:rowOff>
    </xdr:to>
    <xdr:sp>
      <xdr:nvSpPr>
        <xdr:cNvPr id="22" name="Polygon 198"/>
        <xdr:cNvSpPr>
          <a:spLocks/>
        </xdr:cNvSpPr>
      </xdr:nvSpPr>
      <xdr:spPr>
        <a:xfrm>
          <a:off x="2790825" y="106079925"/>
          <a:ext cx="1371600" cy="200025"/>
        </a:xfrm>
        <a:custGeom>
          <a:pathLst>
            <a:path h="21" w="144">
              <a:moveTo>
                <a:pt x="0" y="12"/>
              </a:moveTo>
              <a:lnTo>
                <a:pt x="5" y="21"/>
              </a:lnTo>
              <a:lnTo>
                <a:pt x="12" y="0"/>
              </a:lnTo>
              <a:lnTo>
                <a:pt x="14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104775</xdr:colOff>
      <xdr:row>95</xdr:row>
      <xdr:rowOff>104775</xdr:rowOff>
    </xdr:from>
    <xdr:to>
      <xdr:col>5</xdr:col>
      <xdr:colOff>609600</xdr:colOff>
      <xdr:row>114</xdr:row>
      <xdr:rowOff>19050</xdr:rowOff>
    </xdr:to>
    <xdr:pic>
      <xdr:nvPicPr>
        <xdr:cNvPr id="23" name="Picture 199"/>
        <xdr:cNvPicPr preferRelativeResize="1">
          <a:picLocks noChangeAspect="1"/>
        </xdr:cNvPicPr>
      </xdr:nvPicPr>
      <xdr:blipFill>
        <a:blip r:embed="rId17"/>
        <a:stretch>
          <a:fillRect/>
        </a:stretch>
      </xdr:blipFill>
      <xdr:spPr>
        <a:xfrm>
          <a:off x="790575" y="21821775"/>
          <a:ext cx="3257550" cy="4257675"/>
        </a:xfrm>
        <a:prstGeom prst="rect">
          <a:avLst/>
        </a:prstGeom>
        <a:noFill/>
        <a:ln w="9525" cmpd="sng">
          <a:noFill/>
        </a:ln>
      </xdr:spPr>
    </xdr:pic>
    <xdr:clientData/>
  </xdr:twoCellAnchor>
  <xdr:twoCellAnchor>
    <xdr:from>
      <xdr:col>1</xdr:col>
      <xdr:colOff>285750</xdr:colOff>
      <xdr:row>2</xdr:row>
      <xdr:rowOff>38100</xdr:rowOff>
    </xdr:from>
    <xdr:to>
      <xdr:col>7</xdr:col>
      <xdr:colOff>190500</xdr:colOff>
      <xdr:row>20</xdr:row>
      <xdr:rowOff>85725</xdr:rowOff>
    </xdr:to>
    <xdr:graphicFrame>
      <xdr:nvGraphicFramePr>
        <xdr:cNvPr id="24" name="Chart 200"/>
        <xdr:cNvGraphicFramePr/>
      </xdr:nvGraphicFramePr>
      <xdr:xfrm>
        <a:off x="971550" y="495300"/>
        <a:ext cx="4029075" cy="4162425"/>
      </xdr:xfrm>
      <a:graphic>
        <a:graphicData uri="http://schemas.openxmlformats.org/drawingml/2006/chart">
          <c:chart xmlns:c="http://schemas.openxmlformats.org/drawingml/2006/chart" r:id="rId18"/>
        </a:graphicData>
      </a:graphic>
    </xdr:graphicFrame>
    <xdr:clientData/>
  </xdr:twoCellAnchor>
  <xdr:twoCellAnchor editAs="oneCell">
    <xdr:from>
      <xdr:col>1</xdr:col>
      <xdr:colOff>0</xdr:colOff>
      <xdr:row>484</xdr:row>
      <xdr:rowOff>0</xdr:rowOff>
    </xdr:from>
    <xdr:to>
      <xdr:col>4</xdr:col>
      <xdr:colOff>514350</xdr:colOff>
      <xdr:row>504</xdr:row>
      <xdr:rowOff>142875</xdr:rowOff>
    </xdr:to>
    <xdr:pic>
      <xdr:nvPicPr>
        <xdr:cNvPr id="25" name="Picture 201"/>
        <xdr:cNvPicPr preferRelativeResize="1">
          <a:picLocks noChangeAspect="1"/>
        </xdr:cNvPicPr>
      </xdr:nvPicPr>
      <xdr:blipFill>
        <a:blip r:embed="rId19"/>
        <a:stretch>
          <a:fillRect/>
        </a:stretch>
      </xdr:blipFill>
      <xdr:spPr>
        <a:xfrm>
          <a:off x="685800" y="110642400"/>
          <a:ext cx="2581275" cy="4714875"/>
        </a:xfrm>
        <a:prstGeom prst="rect">
          <a:avLst/>
        </a:prstGeom>
        <a:noFill/>
        <a:ln w="9525" cmpd="sng">
          <a:noFill/>
        </a:ln>
      </xdr:spPr>
    </xdr:pic>
    <xdr:clientData/>
  </xdr:twoCellAnchor>
  <xdr:twoCellAnchor>
    <xdr:from>
      <xdr:col>1</xdr:col>
      <xdr:colOff>342900</xdr:colOff>
      <xdr:row>683</xdr:row>
      <xdr:rowOff>47625</xdr:rowOff>
    </xdr:from>
    <xdr:to>
      <xdr:col>6</xdr:col>
      <xdr:colOff>47625</xdr:colOff>
      <xdr:row>698</xdr:row>
      <xdr:rowOff>152400</xdr:rowOff>
    </xdr:to>
    <xdr:graphicFrame>
      <xdr:nvGraphicFramePr>
        <xdr:cNvPr id="26" name="Chart 207"/>
        <xdr:cNvGraphicFramePr/>
      </xdr:nvGraphicFramePr>
      <xdr:xfrm>
        <a:off x="1028700" y="156181425"/>
        <a:ext cx="3143250" cy="3533775"/>
      </xdr:xfrm>
      <a:graphic>
        <a:graphicData uri="http://schemas.openxmlformats.org/drawingml/2006/chart">
          <c:chart xmlns:c="http://schemas.openxmlformats.org/drawingml/2006/chart" r:id="rId20"/>
        </a:graphicData>
      </a:graphic>
    </xdr:graphicFrame>
    <xdr:clientData/>
  </xdr:twoCellAnchor>
  <xdr:twoCellAnchor>
    <xdr:from>
      <xdr:col>0</xdr:col>
      <xdr:colOff>209550</xdr:colOff>
      <xdr:row>776</xdr:row>
      <xdr:rowOff>123825</xdr:rowOff>
    </xdr:from>
    <xdr:to>
      <xdr:col>8</xdr:col>
      <xdr:colOff>171450</xdr:colOff>
      <xdr:row>792</xdr:row>
      <xdr:rowOff>142875</xdr:rowOff>
    </xdr:to>
    <xdr:graphicFrame>
      <xdr:nvGraphicFramePr>
        <xdr:cNvPr id="27" name="Chart 208"/>
        <xdr:cNvGraphicFramePr/>
      </xdr:nvGraphicFramePr>
      <xdr:xfrm>
        <a:off x="209550" y="177517425"/>
        <a:ext cx="5457825" cy="3676650"/>
      </xdr:xfrm>
      <a:graphic>
        <a:graphicData uri="http://schemas.openxmlformats.org/drawingml/2006/chart">
          <c:chart xmlns:c="http://schemas.openxmlformats.org/drawingml/2006/chart" r:id="rId21"/>
        </a:graphicData>
      </a:graphic>
    </xdr:graphicFrame>
    <xdr:clientData/>
  </xdr:twoCellAnchor>
  <xdr:twoCellAnchor editAs="oneCell">
    <xdr:from>
      <xdr:col>0</xdr:col>
      <xdr:colOff>523875</xdr:colOff>
      <xdr:row>598</xdr:row>
      <xdr:rowOff>0</xdr:rowOff>
    </xdr:from>
    <xdr:to>
      <xdr:col>7</xdr:col>
      <xdr:colOff>28575</xdr:colOff>
      <xdr:row>619</xdr:row>
      <xdr:rowOff>85725</xdr:rowOff>
    </xdr:to>
    <xdr:pic>
      <xdr:nvPicPr>
        <xdr:cNvPr id="28" name="Picture 210"/>
        <xdr:cNvPicPr preferRelativeResize="1">
          <a:picLocks noChangeAspect="1"/>
        </xdr:cNvPicPr>
      </xdr:nvPicPr>
      <xdr:blipFill>
        <a:blip r:embed="rId22"/>
        <a:stretch>
          <a:fillRect/>
        </a:stretch>
      </xdr:blipFill>
      <xdr:spPr>
        <a:xfrm>
          <a:off x="523875" y="136702800"/>
          <a:ext cx="4314825" cy="4886325"/>
        </a:xfrm>
        <a:prstGeom prst="rect">
          <a:avLst/>
        </a:prstGeom>
        <a:noFill/>
        <a:ln w="9525" cmpd="sng">
          <a:noFill/>
        </a:ln>
      </xdr:spPr>
    </xdr:pic>
    <xdr:clientData/>
  </xdr:twoCellAnchor>
  <xdr:twoCellAnchor editAs="oneCell">
    <xdr:from>
      <xdr:col>0</xdr:col>
      <xdr:colOff>628650</xdr:colOff>
      <xdr:row>703</xdr:row>
      <xdr:rowOff>85725</xdr:rowOff>
    </xdr:from>
    <xdr:to>
      <xdr:col>6</xdr:col>
      <xdr:colOff>495300</xdr:colOff>
      <xdr:row>722</xdr:row>
      <xdr:rowOff>47625</xdr:rowOff>
    </xdr:to>
    <xdr:pic>
      <xdr:nvPicPr>
        <xdr:cNvPr id="29" name="Picture 211"/>
        <xdr:cNvPicPr preferRelativeResize="1">
          <a:picLocks noChangeAspect="1"/>
        </xdr:cNvPicPr>
      </xdr:nvPicPr>
      <xdr:blipFill>
        <a:blip r:embed="rId23"/>
        <a:stretch>
          <a:fillRect/>
        </a:stretch>
      </xdr:blipFill>
      <xdr:spPr>
        <a:xfrm>
          <a:off x="628650" y="160791525"/>
          <a:ext cx="3990975" cy="430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447675</xdr:colOff>
      <xdr:row>28</xdr:row>
      <xdr:rowOff>38100</xdr:rowOff>
    </xdr:from>
    <xdr:to>
      <xdr:col>17</xdr:col>
      <xdr:colOff>504825</xdr:colOff>
      <xdr:row>55</xdr:row>
      <xdr:rowOff>57150</xdr:rowOff>
    </xdr:to>
    <xdr:pic>
      <xdr:nvPicPr>
        <xdr:cNvPr id="1" name="Picture 1"/>
        <xdr:cNvPicPr preferRelativeResize="1">
          <a:picLocks noChangeAspect="1"/>
        </xdr:cNvPicPr>
      </xdr:nvPicPr>
      <xdr:blipFill>
        <a:blip r:embed="rId1"/>
        <a:stretch>
          <a:fillRect/>
        </a:stretch>
      </xdr:blipFill>
      <xdr:spPr>
        <a:xfrm>
          <a:off x="7305675" y="4838700"/>
          <a:ext cx="4857750" cy="464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21</xdr:row>
      <xdr:rowOff>9525</xdr:rowOff>
    </xdr:from>
    <xdr:to>
      <xdr:col>12</xdr:col>
      <xdr:colOff>676275</xdr:colOff>
      <xdr:row>45</xdr:row>
      <xdr:rowOff>9525</xdr:rowOff>
    </xdr:to>
    <xdr:graphicFrame>
      <xdr:nvGraphicFramePr>
        <xdr:cNvPr id="1" name="Chart 3"/>
        <xdr:cNvGraphicFramePr/>
      </xdr:nvGraphicFramePr>
      <xdr:xfrm>
        <a:off x="4886325" y="3648075"/>
        <a:ext cx="4019550" cy="4152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vmlDrawing" Target="../drawings/vmlDrawing2.vml" /><Relationship Id="rId9" Type="http://schemas.openxmlformats.org/officeDocument/2006/relationships/drawing" Target="../drawings/drawing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2:W105"/>
  <sheetViews>
    <sheetView showGridLines="0" showRowColHeaders="0" tabSelected="1" zoomScale="75" zoomScaleNormal="75" workbookViewId="0" topLeftCell="A4">
      <selection activeCell="R43" sqref="R43"/>
    </sheetView>
  </sheetViews>
  <sheetFormatPr defaultColWidth="9.00390625" defaultRowHeight="18" customHeight="1"/>
  <cols>
    <col min="1" max="1" width="2.125" style="1" customWidth="1"/>
    <col min="2" max="3" width="9.00390625" style="1" customWidth="1"/>
    <col min="4" max="4" width="9.00390625" style="2" customWidth="1"/>
    <col min="5" max="16384" width="9.00390625" style="1" customWidth="1"/>
  </cols>
  <sheetData>
    <row r="2" spans="2:6" ht="18" customHeight="1">
      <c r="B2" s="1" t="s">
        <v>454</v>
      </c>
      <c r="C2" s="1" t="s">
        <v>96</v>
      </c>
      <c r="D2" s="2" t="s">
        <v>0</v>
      </c>
      <c r="E2" s="88">
        <v>2.5</v>
      </c>
      <c r="F2" s="1" t="s">
        <v>22</v>
      </c>
    </row>
    <row r="3" spans="4:17" ht="18" customHeight="1">
      <c r="D3" s="2" t="s">
        <v>1</v>
      </c>
      <c r="E3" s="88">
        <v>0.22</v>
      </c>
      <c r="F3" s="1" t="s">
        <v>22</v>
      </c>
      <c r="P3" s="112" t="s">
        <v>671</v>
      </c>
      <c r="Q3" s="93">
        <v>200</v>
      </c>
    </row>
    <row r="4" spans="4:6" ht="18" customHeight="1">
      <c r="D4" s="2" t="s">
        <v>2</v>
      </c>
      <c r="E4" s="88">
        <v>0.2</v>
      </c>
      <c r="F4" s="1" t="s">
        <v>22</v>
      </c>
    </row>
    <row r="5" spans="4:6" ht="18" customHeight="1">
      <c r="D5" s="2" t="s">
        <v>3</v>
      </c>
      <c r="E5" s="2">
        <f>E2-(E3+E4+E6)</f>
        <v>1.88</v>
      </c>
      <c r="F5" s="1" t="s">
        <v>22</v>
      </c>
    </row>
    <row r="6" spans="4:7" ht="18" customHeight="1">
      <c r="D6" s="2" t="s">
        <v>4</v>
      </c>
      <c r="E6" s="88">
        <v>0.2</v>
      </c>
      <c r="F6" s="1" t="s">
        <v>22</v>
      </c>
      <c r="G6" s="3">
        <f>IF(E5&lt;0,"入力値が不適切","")</f>
      </c>
    </row>
    <row r="7" spans="3:6" ht="18" customHeight="1">
      <c r="C7" s="1" t="s">
        <v>97</v>
      </c>
      <c r="D7" s="2" t="s">
        <v>6</v>
      </c>
      <c r="E7" s="88">
        <v>2.1</v>
      </c>
      <c r="F7" s="1" t="s">
        <v>22</v>
      </c>
    </row>
    <row r="8" spans="4:6" ht="18" customHeight="1">
      <c r="D8" s="2" t="s">
        <v>7</v>
      </c>
      <c r="E8" s="88">
        <v>0.22</v>
      </c>
      <c r="F8" s="1" t="s">
        <v>22</v>
      </c>
    </row>
    <row r="9" spans="4:6" ht="18" customHeight="1">
      <c r="D9" s="2" t="s">
        <v>8</v>
      </c>
      <c r="E9" s="88">
        <v>0.2</v>
      </c>
      <c r="F9" s="1" t="s">
        <v>22</v>
      </c>
    </row>
    <row r="10" spans="4:6" ht="18" customHeight="1">
      <c r="D10" s="2" t="s">
        <v>9</v>
      </c>
      <c r="E10" s="2">
        <f>E7-E8-E9-E11</f>
        <v>1.3800000000000001</v>
      </c>
      <c r="F10" s="1" t="s">
        <v>22</v>
      </c>
    </row>
    <row r="11" spans="4:7" ht="18" customHeight="1">
      <c r="D11" s="2" t="s">
        <v>10</v>
      </c>
      <c r="E11" s="88">
        <v>0.3</v>
      </c>
      <c r="F11" s="1" t="s">
        <v>22</v>
      </c>
      <c r="G11" s="3">
        <f>IF(E10&lt;0,"入力値が不適切","")</f>
      </c>
    </row>
    <row r="12" spans="3:6" ht="18" customHeight="1">
      <c r="C12" s="1" t="s">
        <v>98</v>
      </c>
      <c r="D12" s="2" t="s">
        <v>11</v>
      </c>
      <c r="E12" s="88">
        <v>0.1</v>
      </c>
      <c r="F12" s="1" t="s">
        <v>22</v>
      </c>
    </row>
    <row r="13" spans="3:10" ht="18" customHeight="1">
      <c r="C13" s="1" t="s">
        <v>99</v>
      </c>
      <c r="D13" s="2" t="s">
        <v>12</v>
      </c>
      <c r="E13" s="88">
        <v>0.1</v>
      </c>
      <c r="F13" s="1" t="s">
        <v>22</v>
      </c>
      <c r="J13" s="1" t="str">
        <f>'出力'!M73</f>
        <v>D16@125</v>
      </c>
    </row>
    <row r="14" spans="2:6" ht="18" customHeight="1">
      <c r="B14" s="1" t="s">
        <v>33</v>
      </c>
      <c r="C14" s="1" t="s">
        <v>34</v>
      </c>
      <c r="D14" s="2" t="s">
        <v>35</v>
      </c>
      <c r="E14" s="88">
        <v>0</v>
      </c>
      <c r="F14" s="1" t="s">
        <v>37</v>
      </c>
    </row>
    <row r="15" spans="3:6" ht="18" customHeight="1">
      <c r="C15" s="1" t="s">
        <v>116</v>
      </c>
      <c r="D15" s="2" t="s">
        <v>5</v>
      </c>
      <c r="E15" s="88">
        <v>1</v>
      </c>
      <c r="F15" s="1" t="s">
        <v>71</v>
      </c>
    </row>
    <row r="16" spans="3:5" ht="18" customHeight="1">
      <c r="C16" s="1" t="s">
        <v>38</v>
      </c>
      <c r="D16" s="2" t="s">
        <v>39</v>
      </c>
      <c r="E16" s="88">
        <v>1.5</v>
      </c>
    </row>
    <row r="17" spans="3:6" ht="18" customHeight="1">
      <c r="C17" s="1" t="s">
        <v>41</v>
      </c>
      <c r="D17" s="2" t="s">
        <v>42</v>
      </c>
      <c r="E17" s="88">
        <v>19</v>
      </c>
      <c r="F17" s="1" t="s">
        <v>29</v>
      </c>
    </row>
    <row r="18" spans="3:12" ht="18" customHeight="1">
      <c r="C18" s="4" t="s">
        <v>43</v>
      </c>
      <c r="D18" s="2" t="s">
        <v>44</v>
      </c>
      <c r="E18" s="88">
        <v>30</v>
      </c>
      <c r="F18" s="1" t="s">
        <v>46</v>
      </c>
      <c r="L18" s="1" t="str">
        <f>'出力'!M74</f>
        <v>D16@125</v>
      </c>
    </row>
    <row r="19" spans="2:5" ht="18" customHeight="1">
      <c r="B19" s="1" t="s">
        <v>47</v>
      </c>
      <c r="C19" s="1" t="s">
        <v>48</v>
      </c>
      <c r="D19" s="2" t="s">
        <v>49</v>
      </c>
      <c r="E19" s="88">
        <v>0.6</v>
      </c>
    </row>
    <row r="20" spans="3:6" ht="18" customHeight="1">
      <c r="C20" s="4" t="s">
        <v>50</v>
      </c>
      <c r="D20" s="2" t="s">
        <v>51</v>
      </c>
      <c r="E20" s="88">
        <v>300</v>
      </c>
      <c r="F20" s="1" t="s">
        <v>53</v>
      </c>
    </row>
    <row r="21" spans="2:6" ht="18" customHeight="1">
      <c r="B21" s="1" t="s">
        <v>55</v>
      </c>
      <c r="C21" s="1" t="s">
        <v>57</v>
      </c>
      <c r="D21" s="2" t="s">
        <v>58</v>
      </c>
      <c r="E21" s="88">
        <v>0.5</v>
      </c>
      <c r="F21" s="1" t="s">
        <v>37</v>
      </c>
    </row>
    <row r="22" spans="3:6" ht="18" customHeight="1">
      <c r="C22" s="1" t="s">
        <v>41</v>
      </c>
      <c r="D22" s="2" t="s">
        <v>42</v>
      </c>
      <c r="E22" s="88">
        <v>18</v>
      </c>
      <c r="F22" s="1" t="s">
        <v>29</v>
      </c>
    </row>
    <row r="23" spans="3:6" ht="18" customHeight="1">
      <c r="C23" s="4" t="s">
        <v>43</v>
      </c>
      <c r="D23" s="2" t="s">
        <v>44</v>
      </c>
      <c r="E23" s="88">
        <v>30</v>
      </c>
      <c r="F23" s="1" t="s">
        <v>46</v>
      </c>
    </row>
    <row r="24" spans="3:6" ht="18" customHeight="1">
      <c r="C24" s="4" t="s">
        <v>63</v>
      </c>
      <c r="D24" s="2" t="s">
        <v>64</v>
      </c>
      <c r="E24" s="88">
        <v>10</v>
      </c>
      <c r="F24" s="1" t="s">
        <v>53</v>
      </c>
    </row>
    <row r="25" spans="3:5" ht="18" customHeight="1">
      <c r="C25" s="1" t="s">
        <v>60</v>
      </c>
      <c r="E25" s="88">
        <v>0.5</v>
      </c>
    </row>
    <row r="26" spans="2:7" ht="18" customHeight="1">
      <c r="B26" s="1" t="s">
        <v>65</v>
      </c>
      <c r="C26" s="1" t="s">
        <v>177</v>
      </c>
      <c r="D26" s="2" t="s">
        <v>66</v>
      </c>
      <c r="E26" s="88">
        <v>10</v>
      </c>
      <c r="F26" s="1" t="s">
        <v>53</v>
      </c>
      <c r="G26" s="3">
        <f>IF(データ!$F$62&gt;データ!$C$54,"盛土肩が仮想背面の前になるような条件にしてください","")</f>
      </c>
    </row>
    <row r="27" spans="3:14" ht="18" customHeight="1">
      <c r="C27" s="1" t="s">
        <v>178</v>
      </c>
      <c r="D27" s="5"/>
      <c r="E27" s="90"/>
      <c r="F27" s="30"/>
      <c r="H27" s="1" t="s">
        <v>557</v>
      </c>
      <c r="J27" s="2"/>
      <c r="N27" s="1" t="s">
        <v>524</v>
      </c>
    </row>
    <row r="28" spans="2:18" ht="18" customHeight="1">
      <c r="B28" s="1" t="s">
        <v>68</v>
      </c>
      <c r="C28" s="1" t="s">
        <v>73</v>
      </c>
      <c r="D28" s="2" t="s">
        <v>74</v>
      </c>
      <c r="E28" s="88">
        <v>1.1</v>
      </c>
      <c r="F28" s="1" t="s">
        <v>71</v>
      </c>
      <c r="J28" s="2"/>
      <c r="N28" s="123" t="s">
        <v>530</v>
      </c>
      <c r="O28" s="123"/>
      <c r="P28" s="86" t="s">
        <v>527</v>
      </c>
      <c r="Q28" s="86" t="s">
        <v>528</v>
      </c>
      <c r="R28" s="86" t="s">
        <v>529</v>
      </c>
    </row>
    <row r="29" spans="3:18" ht="18" customHeight="1">
      <c r="C29" s="1" t="s">
        <v>81</v>
      </c>
      <c r="D29" s="6" t="s">
        <v>75</v>
      </c>
      <c r="E29" s="88">
        <v>5</v>
      </c>
      <c r="F29" s="1" t="s">
        <v>70</v>
      </c>
      <c r="H29" s="1" t="s">
        <v>550</v>
      </c>
      <c r="I29" s="4" t="s">
        <v>23</v>
      </c>
      <c r="J29" s="2" t="s">
        <v>24</v>
      </c>
      <c r="K29" s="88">
        <v>24</v>
      </c>
      <c r="L29" s="1" t="s">
        <v>27</v>
      </c>
      <c r="N29" s="123" t="s">
        <v>430</v>
      </c>
      <c r="O29" s="86" t="s">
        <v>429</v>
      </c>
      <c r="P29" s="86">
        <f>'出力'!N317</f>
        <v>2.5</v>
      </c>
      <c r="Q29" s="86">
        <f>E35</f>
        <v>1.5</v>
      </c>
      <c r="R29" s="86" t="str">
        <f>IF(P29&gt;=Q29,"OK","NG")</f>
        <v>OK</v>
      </c>
    </row>
    <row r="30" spans="3:18" ht="18" customHeight="1">
      <c r="C30" s="1" t="s">
        <v>83</v>
      </c>
      <c r="D30" s="6" t="s">
        <v>76</v>
      </c>
      <c r="E30" s="88">
        <v>0</v>
      </c>
      <c r="F30" s="1" t="s">
        <v>70</v>
      </c>
      <c r="I30" s="1" t="s">
        <v>25</v>
      </c>
      <c r="J30" s="2" t="s">
        <v>26</v>
      </c>
      <c r="K30" s="88">
        <v>24.5</v>
      </c>
      <c r="L30" s="1" t="s">
        <v>29</v>
      </c>
      <c r="N30" s="123"/>
      <c r="O30" s="86" t="s">
        <v>525</v>
      </c>
      <c r="P30" s="86">
        <f>'出力'!N312</f>
        <v>0.31</v>
      </c>
      <c r="Q30" s="86">
        <f>'出力'!N316</f>
        <v>0.35</v>
      </c>
      <c r="R30" s="86" t="str">
        <f>IF(P30&gt;=Q30,"NG","OK")</f>
        <v>OK</v>
      </c>
    </row>
    <row r="31" spans="2:18" ht="18" customHeight="1">
      <c r="B31" s="1" t="s">
        <v>84</v>
      </c>
      <c r="C31" s="1" t="s">
        <v>85</v>
      </c>
      <c r="E31" s="90"/>
      <c r="I31" s="1" t="s">
        <v>551</v>
      </c>
      <c r="J31" s="2"/>
      <c r="K31" s="89"/>
      <c r="N31" s="86" t="s">
        <v>431</v>
      </c>
      <c r="O31" s="86" t="s">
        <v>429</v>
      </c>
      <c r="P31" s="86">
        <f>'出力'!N331</f>
        <v>2.04</v>
      </c>
      <c r="Q31" s="86">
        <f>E37</f>
        <v>1.5</v>
      </c>
      <c r="R31" s="86" t="str">
        <f>IF(P31&gt;=Q31,"OK","NG")</f>
        <v>OK</v>
      </c>
    </row>
    <row r="32" spans="2:18" ht="18" customHeight="1">
      <c r="B32" s="1" t="s">
        <v>93</v>
      </c>
      <c r="D32" s="2" t="s">
        <v>61</v>
      </c>
      <c r="E32" s="88">
        <v>20</v>
      </c>
      <c r="F32" s="1" t="s">
        <v>46</v>
      </c>
      <c r="H32" s="125" t="s">
        <v>545</v>
      </c>
      <c r="I32" s="96" t="s">
        <v>548</v>
      </c>
      <c r="J32" s="96" t="s">
        <v>547</v>
      </c>
      <c r="K32" s="96" t="s">
        <v>549</v>
      </c>
      <c r="L32" s="30"/>
      <c r="N32" s="86" t="s">
        <v>432</v>
      </c>
      <c r="O32" s="86" t="s">
        <v>526</v>
      </c>
      <c r="P32" s="86">
        <f>ROUND('出力'!N339,0)</f>
        <v>130</v>
      </c>
      <c r="Q32" s="86">
        <f>'出力'!R339</f>
        <v>300</v>
      </c>
      <c r="R32" s="86" t="str">
        <f>IF(P32&gt;=Q32,"NG","OK")</f>
        <v>OK</v>
      </c>
    </row>
    <row r="33" spans="2:14" ht="18" customHeight="1">
      <c r="B33" s="1" t="s">
        <v>95</v>
      </c>
      <c r="E33" s="89"/>
      <c r="H33" s="126"/>
      <c r="I33" s="97" t="s">
        <v>546</v>
      </c>
      <c r="J33" s="97" t="s">
        <v>22</v>
      </c>
      <c r="K33" s="97" t="s">
        <v>22</v>
      </c>
      <c r="L33" s="30"/>
      <c r="N33" s="1" t="s">
        <v>531</v>
      </c>
    </row>
    <row r="34" spans="4:18" ht="18" customHeight="1">
      <c r="D34" s="2" t="s">
        <v>61</v>
      </c>
      <c r="E34" s="88">
        <v>30</v>
      </c>
      <c r="F34" s="1" t="s">
        <v>46</v>
      </c>
      <c r="H34" s="86" t="s">
        <v>543</v>
      </c>
      <c r="I34" s="86"/>
      <c r="J34" s="88">
        <v>125</v>
      </c>
      <c r="K34" s="88">
        <v>30</v>
      </c>
      <c r="L34" s="30"/>
      <c r="N34" s="86" t="s">
        <v>532</v>
      </c>
      <c r="O34" s="85" t="s">
        <v>535</v>
      </c>
      <c r="P34" s="85" t="s">
        <v>536</v>
      </c>
      <c r="Q34" s="85" t="s">
        <v>537</v>
      </c>
      <c r="R34" s="86" t="s">
        <v>529</v>
      </c>
    </row>
    <row r="35" spans="2:18" ht="18" customHeight="1">
      <c r="B35" s="1" t="s">
        <v>433</v>
      </c>
      <c r="C35" s="1" t="s">
        <v>435</v>
      </c>
      <c r="E35" s="88">
        <v>1.5</v>
      </c>
      <c r="H35" s="86" t="s">
        <v>544</v>
      </c>
      <c r="I35" s="86"/>
      <c r="J35" s="88">
        <v>125</v>
      </c>
      <c r="K35" s="88">
        <v>30</v>
      </c>
      <c r="L35" s="30"/>
      <c r="N35" s="87" t="s">
        <v>533</v>
      </c>
      <c r="O35" s="86">
        <f>'出力'!O466</f>
        <v>5.4</v>
      </c>
      <c r="P35" s="86">
        <f>'出力'!O578</f>
        <v>5.4</v>
      </c>
      <c r="Q35" s="86">
        <f>K37</f>
        <v>8</v>
      </c>
      <c r="R35" s="86" t="str">
        <f>IF(MAX(O35:P35)&lt;=Q35,"OK","NG")</f>
        <v>OK</v>
      </c>
    </row>
    <row r="36" spans="3:18" ht="18" customHeight="1">
      <c r="C36" s="1" t="s">
        <v>437</v>
      </c>
      <c r="E36" s="88">
        <v>6</v>
      </c>
      <c r="J36" s="2"/>
      <c r="N36" s="86" t="s">
        <v>13</v>
      </c>
      <c r="O36" s="86">
        <f>'出力'!O471</f>
        <v>125</v>
      </c>
      <c r="P36" s="86">
        <f>'出力'!O583</f>
        <v>125</v>
      </c>
      <c r="Q36" s="86">
        <f>K39</f>
        <v>180</v>
      </c>
      <c r="R36" s="86" t="str">
        <f>IF(MAX(O36:P36)&lt;=Q36,"OK","NG")</f>
        <v>OK</v>
      </c>
    </row>
    <row r="37" spans="3:18" ht="18" customHeight="1">
      <c r="C37" s="1" t="s">
        <v>436</v>
      </c>
      <c r="E37" s="88">
        <v>1.5</v>
      </c>
      <c r="H37" s="124" t="s">
        <v>553</v>
      </c>
      <c r="I37" s="94" t="s">
        <v>23</v>
      </c>
      <c r="J37" s="86" t="s">
        <v>30</v>
      </c>
      <c r="K37" s="88">
        <v>8</v>
      </c>
      <c r="N37" s="86" t="s">
        <v>534</v>
      </c>
      <c r="O37" s="86">
        <f>'出力'!O476</f>
        <v>0.16</v>
      </c>
      <c r="P37" s="86">
        <f>'出力'!O588</f>
        <v>0.13</v>
      </c>
      <c r="Q37" s="86">
        <f>K38</f>
        <v>0.39</v>
      </c>
      <c r="R37" s="86" t="str">
        <f>IF(MAX(O37:P37)&lt;=Q37,"OK","NG")</f>
        <v>OK</v>
      </c>
    </row>
    <row r="38" spans="8:11" ht="18" customHeight="1">
      <c r="H38" s="124"/>
      <c r="I38" s="95" t="s">
        <v>534</v>
      </c>
      <c r="J38" s="86" t="s">
        <v>31</v>
      </c>
      <c r="K38" s="88">
        <v>0.39</v>
      </c>
    </row>
    <row r="39" spans="8:21" ht="18" customHeight="1">
      <c r="H39" s="124"/>
      <c r="I39" s="95" t="s">
        <v>552</v>
      </c>
      <c r="J39" s="86" t="s">
        <v>32</v>
      </c>
      <c r="K39" s="88">
        <v>180</v>
      </c>
      <c r="M39" s="30"/>
      <c r="N39" s="30"/>
      <c r="O39" s="30"/>
      <c r="P39" s="30"/>
      <c r="Q39" s="30"/>
      <c r="R39" s="30"/>
      <c r="S39" s="30"/>
      <c r="T39" s="30"/>
      <c r="U39" s="30"/>
    </row>
    <row r="40" spans="7:21" ht="18" customHeight="1">
      <c r="G40" s="30"/>
      <c r="M40" s="30"/>
      <c r="N40" s="127"/>
      <c r="O40" s="127"/>
      <c r="P40" s="127"/>
      <c r="Q40" s="127"/>
      <c r="R40" s="127"/>
      <c r="S40" s="30"/>
      <c r="T40" s="30"/>
      <c r="U40" s="30"/>
    </row>
    <row r="41" ht="18" customHeight="1">
      <c r="D41" s="1"/>
    </row>
    <row r="42" ht="21.75" customHeight="1">
      <c r="D42" s="1"/>
    </row>
    <row r="43" ht="21" customHeight="1">
      <c r="D43" s="1"/>
    </row>
    <row r="44" ht="28.5" customHeight="1">
      <c r="D44" s="1"/>
    </row>
    <row r="45" ht="21.75" customHeight="1">
      <c r="D45" s="1"/>
    </row>
    <row r="46" ht="24.75" customHeight="1">
      <c r="D46" s="1"/>
    </row>
    <row r="47" spans="1:23" s="108" customFormat="1" ht="18" customHeight="1">
      <c r="A47" s="110"/>
      <c r="B47" s="110"/>
      <c r="C47" s="110"/>
      <c r="D47" s="111"/>
      <c r="E47" s="110"/>
      <c r="F47" s="110"/>
      <c r="G47" s="110"/>
      <c r="H47" s="110"/>
      <c r="I47" s="110"/>
      <c r="J47" s="110"/>
      <c r="K47" s="110"/>
      <c r="L47" s="110"/>
      <c r="M47" s="110"/>
      <c r="S47" s="110"/>
      <c r="T47" s="110"/>
      <c r="U47" s="110"/>
      <c r="V47" s="110"/>
      <c r="W47" s="110"/>
    </row>
    <row r="48" spans="2:4" s="108" customFormat="1" ht="18" customHeight="1">
      <c r="B48" s="108" t="s">
        <v>657</v>
      </c>
      <c r="D48" s="109"/>
    </row>
    <row r="49" spans="2:4" s="108" customFormat="1" ht="18" customHeight="1">
      <c r="B49" s="108" t="s">
        <v>658</v>
      </c>
      <c r="D49" s="109"/>
    </row>
    <row r="50" spans="2:4" s="108" customFormat="1" ht="18" customHeight="1">
      <c r="B50" s="108" t="s">
        <v>659</v>
      </c>
      <c r="D50" s="109"/>
    </row>
    <row r="51" spans="2:4" s="108" customFormat="1" ht="18" customHeight="1">
      <c r="B51" s="108" t="s">
        <v>669</v>
      </c>
      <c r="D51" s="109"/>
    </row>
    <row r="52" spans="2:4" s="108" customFormat="1" ht="18" customHeight="1">
      <c r="B52" s="108" t="s">
        <v>662</v>
      </c>
      <c r="D52" s="109"/>
    </row>
    <row r="53" spans="2:4" s="108" customFormat="1" ht="18" customHeight="1">
      <c r="B53" s="108" t="s">
        <v>670</v>
      </c>
      <c r="D53" s="109"/>
    </row>
    <row r="54" s="108" customFormat="1" ht="18" customHeight="1">
      <c r="D54" s="109"/>
    </row>
    <row r="55" s="108" customFormat="1" ht="18" customHeight="1">
      <c r="D55" s="109"/>
    </row>
    <row r="56" s="108" customFormat="1" ht="18" customHeight="1">
      <c r="D56" s="109"/>
    </row>
    <row r="57" s="108" customFormat="1" ht="18" customHeight="1">
      <c r="D57" s="109"/>
    </row>
    <row r="58" s="108" customFormat="1" ht="18" customHeight="1">
      <c r="D58" s="109"/>
    </row>
    <row r="59" s="108" customFormat="1" ht="18" customHeight="1">
      <c r="D59" s="109"/>
    </row>
    <row r="60" s="108" customFormat="1" ht="18" customHeight="1">
      <c r="D60" s="109"/>
    </row>
    <row r="61" s="108" customFormat="1" ht="18" customHeight="1">
      <c r="D61" s="109"/>
    </row>
    <row r="62" s="108" customFormat="1" ht="18" customHeight="1">
      <c r="D62" s="109"/>
    </row>
    <row r="63" s="108" customFormat="1" ht="18" customHeight="1">
      <c r="D63" s="109"/>
    </row>
    <row r="64" s="108" customFormat="1" ht="18" customHeight="1">
      <c r="D64" s="109"/>
    </row>
    <row r="65" s="108" customFormat="1" ht="18" customHeight="1">
      <c r="D65" s="109"/>
    </row>
    <row r="66" spans="4:9" s="108" customFormat="1" ht="18" customHeight="1">
      <c r="D66" s="108" t="s">
        <v>660</v>
      </c>
      <c r="I66" s="108" t="s">
        <v>661</v>
      </c>
    </row>
    <row r="67" s="108" customFormat="1" ht="18" customHeight="1">
      <c r="D67" s="109"/>
    </row>
    <row r="68" s="108" customFormat="1" ht="18" customHeight="1">
      <c r="D68" s="109"/>
    </row>
    <row r="69" s="108" customFormat="1" ht="18" customHeight="1">
      <c r="D69" s="109"/>
    </row>
    <row r="70" s="108" customFormat="1" ht="18" customHeight="1">
      <c r="D70" s="109"/>
    </row>
    <row r="71" s="108" customFormat="1" ht="18" customHeight="1">
      <c r="D71" s="109"/>
    </row>
    <row r="72" s="108" customFormat="1" ht="18" customHeight="1">
      <c r="D72" s="109"/>
    </row>
    <row r="73" s="108" customFormat="1" ht="18" customHeight="1">
      <c r="D73" s="109"/>
    </row>
    <row r="74" s="108" customFormat="1" ht="18" customHeight="1">
      <c r="D74" s="109"/>
    </row>
    <row r="75" s="108" customFormat="1" ht="18" customHeight="1">
      <c r="D75" s="109"/>
    </row>
    <row r="76" s="108" customFormat="1" ht="18" customHeight="1">
      <c r="D76" s="109"/>
    </row>
    <row r="77" s="108" customFormat="1" ht="18" customHeight="1">
      <c r="D77" s="109"/>
    </row>
    <row r="78" s="108" customFormat="1" ht="18" customHeight="1">
      <c r="D78" s="109"/>
    </row>
    <row r="79" s="108" customFormat="1" ht="18" customHeight="1">
      <c r="D79" s="109"/>
    </row>
    <row r="80" s="108" customFormat="1" ht="18" customHeight="1">
      <c r="D80" s="109"/>
    </row>
    <row r="81" s="108" customFormat="1" ht="18" customHeight="1">
      <c r="D81" s="109"/>
    </row>
    <row r="82" s="108" customFormat="1" ht="18" customHeight="1">
      <c r="D82" s="109"/>
    </row>
    <row r="83" s="108" customFormat="1" ht="18" customHeight="1">
      <c r="D83" s="109"/>
    </row>
    <row r="84" s="108" customFormat="1" ht="18" customHeight="1">
      <c r="D84" s="109"/>
    </row>
    <row r="85" s="108" customFormat="1" ht="18" customHeight="1">
      <c r="D85" s="109"/>
    </row>
    <row r="86" s="108" customFormat="1" ht="18" customHeight="1">
      <c r="D86" s="109"/>
    </row>
    <row r="87" s="108" customFormat="1" ht="18" customHeight="1">
      <c r="D87" s="109"/>
    </row>
    <row r="88" s="108" customFormat="1" ht="18" customHeight="1">
      <c r="D88" s="109"/>
    </row>
    <row r="89" s="108" customFormat="1" ht="18" customHeight="1">
      <c r="D89" s="109"/>
    </row>
    <row r="90" s="108" customFormat="1" ht="18" customHeight="1">
      <c r="D90" s="109"/>
    </row>
    <row r="91" s="108" customFormat="1" ht="18" customHeight="1">
      <c r="D91" s="109"/>
    </row>
    <row r="92" s="108" customFormat="1" ht="18" customHeight="1">
      <c r="D92" s="109"/>
    </row>
    <row r="93" s="108" customFormat="1" ht="18" customHeight="1">
      <c r="D93" s="109"/>
    </row>
    <row r="94" s="108" customFormat="1" ht="18" customHeight="1">
      <c r="D94" s="109"/>
    </row>
    <row r="95" s="108" customFormat="1" ht="18" customHeight="1">
      <c r="D95" s="109"/>
    </row>
    <row r="96" s="108" customFormat="1" ht="18" customHeight="1">
      <c r="D96" s="109"/>
    </row>
    <row r="97" s="108" customFormat="1" ht="18" customHeight="1">
      <c r="D97" s="109"/>
    </row>
    <row r="98" s="108" customFormat="1" ht="18" customHeight="1">
      <c r="D98" s="109"/>
    </row>
    <row r="99" s="108" customFormat="1" ht="18" customHeight="1">
      <c r="D99" s="109"/>
    </row>
    <row r="100" spans="4:18" s="108" customFormat="1" ht="18" customHeight="1">
      <c r="D100" s="109"/>
      <c r="N100" s="1"/>
      <c r="O100" s="1"/>
      <c r="P100" s="1"/>
      <c r="Q100" s="1"/>
      <c r="R100" s="1"/>
    </row>
    <row r="101" spans="4:18" s="108" customFormat="1" ht="18" customHeight="1">
      <c r="D101" s="109"/>
      <c r="N101" s="1"/>
      <c r="O101" s="1"/>
      <c r="P101" s="1"/>
      <c r="Q101" s="1"/>
      <c r="R101" s="1"/>
    </row>
    <row r="102" spans="4:18" s="108" customFormat="1" ht="18" customHeight="1">
      <c r="D102" s="109"/>
      <c r="N102" s="1"/>
      <c r="O102" s="1"/>
      <c r="P102" s="1"/>
      <c r="Q102" s="1"/>
      <c r="R102" s="1"/>
    </row>
    <row r="103" spans="4:18" s="108" customFormat="1" ht="18" customHeight="1">
      <c r="D103" s="109"/>
      <c r="N103" s="1"/>
      <c r="O103" s="1"/>
      <c r="P103" s="1"/>
      <c r="Q103" s="1"/>
      <c r="R103" s="1"/>
    </row>
    <row r="104" spans="4:18" s="108" customFormat="1" ht="18" customHeight="1">
      <c r="D104" s="109"/>
      <c r="N104" s="1"/>
      <c r="O104" s="1"/>
      <c r="P104" s="1"/>
      <c r="Q104" s="1"/>
      <c r="R104" s="1"/>
    </row>
    <row r="105" spans="4:18" s="108" customFormat="1" ht="18" customHeight="1">
      <c r="D105" s="109"/>
      <c r="N105" s="1"/>
      <c r="O105" s="1"/>
      <c r="P105" s="1"/>
      <c r="Q105" s="1"/>
      <c r="R105" s="1"/>
    </row>
  </sheetData>
  <mergeCells count="5">
    <mergeCell ref="N40:R40"/>
    <mergeCell ref="N28:O28"/>
    <mergeCell ref="N29:N30"/>
    <mergeCell ref="H37:H39"/>
    <mergeCell ref="H32:H33"/>
  </mergeCells>
  <conditionalFormatting sqref="P29">
    <cfRule type="cellIs" priority="1" dxfId="0" operator="lessThan" stopIfTrue="1">
      <formula>$Q$29</formula>
    </cfRule>
  </conditionalFormatting>
  <conditionalFormatting sqref="P30">
    <cfRule type="cellIs" priority="2" dxfId="0" operator="greaterThan" stopIfTrue="1">
      <formula>$Q$30</formula>
    </cfRule>
  </conditionalFormatting>
  <conditionalFormatting sqref="P31">
    <cfRule type="cellIs" priority="3" dxfId="0" operator="lessThan" stopIfTrue="1">
      <formula>$Q$31</formula>
    </cfRule>
  </conditionalFormatting>
  <conditionalFormatting sqref="P32">
    <cfRule type="cellIs" priority="4" dxfId="0" operator="greaterThan" stopIfTrue="1">
      <formula>$Q$32</formula>
    </cfRule>
  </conditionalFormatting>
  <conditionalFormatting sqref="O35:P35">
    <cfRule type="cellIs" priority="5" dxfId="0" operator="greaterThan" stopIfTrue="1">
      <formula>$Q$35</formula>
    </cfRule>
  </conditionalFormatting>
  <conditionalFormatting sqref="O36:P36">
    <cfRule type="cellIs" priority="6" dxfId="0" operator="greaterThan" stopIfTrue="1">
      <formula>$Q$36</formula>
    </cfRule>
  </conditionalFormatting>
  <conditionalFormatting sqref="O37:P37">
    <cfRule type="cellIs" priority="7" dxfId="0" operator="greaterThan" stopIfTrue="1">
      <formula>$Q$37</formula>
    </cfRule>
  </conditionalFormatting>
  <printOptions/>
  <pageMargins left="0.75" right="0.75" top="1" bottom="1" header="0.512" footer="0.51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V788"/>
  <sheetViews>
    <sheetView workbookViewId="0" topLeftCell="A174">
      <selection activeCell="J166" sqref="J166"/>
    </sheetView>
  </sheetViews>
  <sheetFormatPr defaultColWidth="9.00390625" defaultRowHeight="18" customHeight="1"/>
  <cols>
    <col min="1" max="3" width="9.00390625" style="9" customWidth="1"/>
    <col min="4" max="4" width="9.125" style="9" bestFit="1" customWidth="1"/>
    <col min="5" max="16384" width="9.00390625" style="9" customWidth="1"/>
  </cols>
  <sheetData>
    <row r="1" ht="18" customHeight="1">
      <c r="A1" s="9" t="s">
        <v>122</v>
      </c>
    </row>
    <row r="2" ht="18" customHeight="1">
      <c r="A2" s="9" t="s">
        <v>453</v>
      </c>
    </row>
    <row r="27" spans="7:9" ht="18" customHeight="1">
      <c r="G27" s="11" t="s">
        <v>14</v>
      </c>
      <c r="H27" s="68">
        <f>'入力画面'!E2</f>
        <v>2.5</v>
      </c>
      <c r="I27" s="9" t="s">
        <v>71</v>
      </c>
    </row>
    <row r="28" spans="7:9" ht="18" customHeight="1">
      <c r="G28" s="11" t="s">
        <v>15</v>
      </c>
      <c r="H28" s="68">
        <f>'入力画面'!E3</f>
        <v>0.22</v>
      </c>
      <c r="I28" s="9" t="s">
        <v>71</v>
      </c>
    </row>
    <row r="29" spans="7:9" ht="18" customHeight="1">
      <c r="G29" s="11" t="s">
        <v>127</v>
      </c>
      <c r="H29" s="68">
        <f>'入力画面'!E4</f>
        <v>0.2</v>
      </c>
      <c r="I29" s="9" t="s">
        <v>71</v>
      </c>
    </row>
    <row r="30" spans="7:9" ht="18" customHeight="1">
      <c r="G30" s="11" t="s">
        <v>128</v>
      </c>
      <c r="H30" s="68">
        <f>'入力画面'!E5</f>
        <v>1.88</v>
      </c>
      <c r="I30" s="9" t="s">
        <v>71</v>
      </c>
    </row>
    <row r="31" spans="7:9" ht="18" customHeight="1">
      <c r="G31" s="11" t="s">
        <v>129</v>
      </c>
      <c r="H31" s="68">
        <f>'入力画面'!E6</f>
        <v>0.2</v>
      </c>
      <c r="I31" s="9" t="s">
        <v>71</v>
      </c>
    </row>
    <row r="32" spans="7:9" ht="18" customHeight="1">
      <c r="G32" s="11" t="s">
        <v>16</v>
      </c>
      <c r="H32" s="68">
        <f>'入力画面'!E7</f>
        <v>2.1</v>
      </c>
      <c r="I32" s="9" t="s">
        <v>71</v>
      </c>
    </row>
    <row r="33" spans="4:9" ht="18" customHeight="1">
      <c r="D33" s="9" t="str">
        <f>M73</f>
        <v>D16@125</v>
      </c>
      <c r="G33" s="11" t="s">
        <v>17</v>
      </c>
      <c r="H33" s="68">
        <f>'入力画面'!E8</f>
        <v>0.22</v>
      </c>
      <c r="I33" s="9" t="s">
        <v>71</v>
      </c>
    </row>
    <row r="34" spans="7:9" ht="18" customHeight="1">
      <c r="G34" s="11" t="s">
        <v>130</v>
      </c>
      <c r="H34" s="68">
        <f>'入力画面'!E9</f>
        <v>0.2</v>
      </c>
      <c r="I34" s="9" t="s">
        <v>71</v>
      </c>
    </row>
    <row r="35" spans="7:9" ht="18" customHeight="1">
      <c r="G35" s="11" t="s">
        <v>131</v>
      </c>
      <c r="H35" s="68">
        <f>'入力画面'!E10</f>
        <v>1.3800000000000001</v>
      </c>
      <c r="I35" s="9" t="s">
        <v>71</v>
      </c>
    </row>
    <row r="36" spans="7:9" ht="18" customHeight="1">
      <c r="G36" s="11" t="s">
        <v>132</v>
      </c>
      <c r="H36" s="68">
        <f>'入力画面'!E11</f>
        <v>0.3</v>
      </c>
      <c r="I36" s="9" t="s">
        <v>71</v>
      </c>
    </row>
    <row r="37" spans="5:9" ht="18" customHeight="1">
      <c r="E37" s="9" t="str">
        <f>M74</f>
        <v>D16@125</v>
      </c>
      <c r="G37" s="11" t="s">
        <v>18</v>
      </c>
      <c r="H37" s="68">
        <f>'入力画面'!E12</f>
        <v>0.1</v>
      </c>
      <c r="I37" s="9" t="s">
        <v>71</v>
      </c>
    </row>
    <row r="38" spans="7:9" ht="18" customHeight="1">
      <c r="G38" s="11" t="s">
        <v>19</v>
      </c>
      <c r="H38" s="68">
        <f>'入力画面'!E13</f>
        <v>0.1</v>
      </c>
      <c r="I38" s="9" t="s">
        <v>71</v>
      </c>
    </row>
    <row r="44" ht="18" customHeight="1">
      <c r="A44" s="9" t="s">
        <v>455</v>
      </c>
    </row>
    <row r="45" spans="2:5" ht="18" customHeight="1">
      <c r="B45" s="12" t="str">
        <f>'入力画面'!C14</f>
        <v>小段幅</v>
      </c>
      <c r="C45" s="11" t="s">
        <v>140</v>
      </c>
      <c r="D45" s="11">
        <f>'入力画面'!E14</f>
        <v>0</v>
      </c>
      <c r="E45" s="9" t="str">
        <f>'入力画面'!F14</f>
        <v>m</v>
      </c>
    </row>
    <row r="46" spans="2:5" ht="18" customHeight="1">
      <c r="B46" s="12" t="str">
        <f>'入力画面'!C15</f>
        <v>嵩上げ高</v>
      </c>
      <c r="C46" s="11" t="s">
        <v>141</v>
      </c>
      <c r="D46" s="11">
        <f>'入力画面'!E15</f>
        <v>1</v>
      </c>
      <c r="E46" s="9" t="str">
        <f>'入力画面'!F15</f>
        <v>m</v>
      </c>
    </row>
    <row r="47" spans="2:4" ht="18" customHeight="1">
      <c r="B47" s="12" t="str">
        <f>'入力画面'!C16</f>
        <v>土羽勾配</v>
      </c>
      <c r="C47" s="11" t="s">
        <v>142</v>
      </c>
      <c r="D47" s="19">
        <f>IF('入力画面'!E16=0,0.000001,'入力画面'!E16)</f>
        <v>1.5</v>
      </c>
    </row>
    <row r="48" spans="2:5" ht="18" customHeight="1">
      <c r="B48" s="12" t="str">
        <f>'入力画面'!C17</f>
        <v>単位重量</v>
      </c>
      <c r="C48" s="11" t="s">
        <v>143</v>
      </c>
      <c r="D48" s="11">
        <f>'入力画面'!E17</f>
        <v>19</v>
      </c>
      <c r="E48" s="9" t="str">
        <f>'入力画面'!F17</f>
        <v>kN/m3</v>
      </c>
    </row>
    <row r="49" spans="2:5" ht="18" customHeight="1">
      <c r="B49" s="12" t="s">
        <v>150</v>
      </c>
      <c r="C49" s="11" t="s">
        <v>144</v>
      </c>
      <c r="D49" s="11">
        <f>'入力画面'!E18</f>
        <v>30</v>
      </c>
      <c r="E49" s="9" t="s">
        <v>45</v>
      </c>
    </row>
    <row r="50" spans="1:4" ht="18" customHeight="1">
      <c r="A50" s="9" t="s">
        <v>456</v>
      </c>
      <c r="B50" s="12"/>
      <c r="C50" s="11"/>
      <c r="D50" s="11"/>
    </row>
    <row r="51" ht="18" customHeight="1">
      <c r="B51" s="9" t="s">
        <v>457</v>
      </c>
    </row>
    <row r="52" spans="3:7" ht="18" customHeight="1">
      <c r="C52" s="9" t="s">
        <v>458</v>
      </c>
      <c r="F52" s="11" t="s">
        <v>149</v>
      </c>
      <c r="G52" s="11">
        <f>'入力画面'!E19</f>
        <v>0.6</v>
      </c>
    </row>
    <row r="53" spans="3:7" ht="18" customHeight="1">
      <c r="C53" s="13" t="s">
        <v>148</v>
      </c>
      <c r="E53" s="11" t="s">
        <v>145</v>
      </c>
      <c r="F53" s="11">
        <f>'入力画面'!E20</f>
        <v>300</v>
      </c>
      <c r="G53" s="9" t="s">
        <v>52</v>
      </c>
    </row>
    <row r="54" spans="2:6" ht="18" customHeight="1">
      <c r="B54" s="9" t="s">
        <v>54</v>
      </c>
      <c r="C54" s="13"/>
      <c r="E54" s="11"/>
      <c r="F54" s="11"/>
    </row>
    <row r="55" spans="3:6" ht="18" customHeight="1">
      <c r="C55" s="11" t="s">
        <v>56</v>
      </c>
      <c r="D55" s="11" t="s">
        <v>146</v>
      </c>
      <c r="E55" s="11">
        <f>'入力画面'!E21</f>
        <v>0.5</v>
      </c>
      <c r="F55" s="9" t="s">
        <v>36</v>
      </c>
    </row>
    <row r="56" spans="3:6" ht="18" customHeight="1">
      <c r="C56" s="11" t="s">
        <v>40</v>
      </c>
      <c r="D56" s="11" t="s">
        <v>143</v>
      </c>
      <c r="E56" s="11">
        <f>'入力画面'!E22</f>
        <v>18</v>
      </c>
      <c r="F56" s="9" t="s">
        <v>28</v>
      </c>
    </row>
    <row r="57" spans="3:6" ht="18" customHeight="1">
      <c r="C57" s="12" t="s">
        <v>150</v>
      </c>
      <c r="D57" s="11" t="s">
        <v>144</v>
      </c>
      <c r="E57" s="11">
        <f>'入力画面'!E23</f>
        <v>30</v>
      </c>
      <c r="F57" s="9" t="s">
        <v>45</v>
      </c>
    </row>
    <row r="58" spans="3:6" ht="18" customHeight="1">
      <c r="C58" s="11" t="s">
        <v>62</v>
      </c>
      <c r="D58" s="11" t="s">
        <v>147</v>
      </c>
      <c r="E58" s="11">
        <f>'入力画面'!E24</f>
        <v>10</v>
      </c>
      <c r="F58" s="9" t="s">
        <v>52</v>
      </c>
    </row>
    <row r="59" spans="3:5" ht="18" customHeight="1">
      <c r="C59" s="13" t="s">
        <v>59</v>
      </c>
      <c r="D59" s="11"/>
      <c r="E59" s="11">
        <f>'入力画面'!E25</f>
        <v>0.5</v>
      </c>
    </row>
    <row r="60" spans="1:5" ht="18" customHeight="1">
      <c r="A60" s="9" t="s">
        <v>459</v>
      </c>
      <c r="C60" s="12"/>
      <c r="D60" s="11"/>
      <c r="E60" s="11"/>
    </row>
    <row r="61" spans="2:6" ht="18" customHeight="1">
      <c r="B61" s="9" t="s">
        <v>92</v>
      </c>
      <c r="C61" s="12"/>
      <c r="D61" s="11" t="s">
        <v>155</v>
      </c>
      <c r="E61" s="11">
        <f>'入力画面'!E31</f>
        <v>0</v>
      </c>
      <c r="F61" s="9" t="s">
        <v>45</v>
      </c>
    </row>
    <row r="62" spans="2:5" ht="18" customHeight="1">
      <c r="B62" s="9" t="s">
        <v>94</v>
      </c>
      <c r="C62" s="12"/>
      <c r="D62" s="13" t="str">
        <f>データ!C19</f>
        <v>改良試行くさび法</v>
      </c>
      <c r="E62" s="11"/>
    </row>
    <row r="63" ht="18" customHeight="1">
      <c r="A63" s="9" t="s">
        <v>460</v>
      </c>
    </row>
    <row r="64" ht="18" customHeight="1">
      <c r="B64" s="9" t="s">
        <v>182</v>
      </c>
    </row>
    <row r="65" spans="3:6" ht="18" customHeight="1">
      <c r="C65" s="12" t="s">
        <v>65</v>
      </c>
      <c r="D65" s="11" t="s">
        <v>151</v>
      </c>
      <c r="E65" s="11">
        <f>'入力画面'!E26</f>
        <v>10</v>
      </c>
      <c r="F65" s="9" t="s">
        <v>52</v>
      </c>
    </row>
    <row r="66" spans="3:4" ht="18" customHeight="1">
      <c r="C66" s="12" t="s">
        <v>183</v>
      </c>
      <c r="D66" s="13" t="str">
        <f>データ!C86</f>
        <v>全体載荷</v>
      </c>
    </row>
    <row r="67" ht="18" customHeight="1">
      <c r="B67" s="9" t="s">
        <v>67</v>
      </c>
    </row>
    <row r="68" spans="3:6" ht="18" customHeight="1">
      <c r="C68" s="12" t="s">
        <v>72</v>
      </c>
      <c r="D68" s="11" t="s">
        <v>152</v>
      </c>
      <c r="E68" s="11">
        <f>'入力画面'!E28</f>
        <v>1.1</v>
      </c>
      <c r="F68" s="9" t="s">
        <v>36</v>
      </c>
    </row>
    <row r="69" spans="3:6" ht="18" customHeight="1">
      <c r="C69" s="12" t="s">
        <v>80</v>
      </c>
      <c r="D69" s="11" t="s">
        <v>153</v>
      </c>
      <c r="E69" s="11">
        <f>'入力画面'!E29</f>
        <v>5</v>
      </c>
      <c r="F69" s="9" t="s">
        <v>69</v>
      </c>
    </row>
    <row r="70" spans="3:6" ht="18" customHeight="1">
      <c r="C70" s="12" t="s">
        <v>82</v>
      </c>
      <c r="D70" s="11" t="s">
        <v>154</v>
      </c>
      <c r="E70" s="11">
        <f>'入力画面'!E30</f>
        <v>0</v>
      </c>
      <c r="F70" s="9" t="s">
        <v>69</v>
      </c>
    </row>
    <row r="71" ht="18" customHeight="1">
      <c r="A71" s="9" t="s">
        <v>461</v>
      </c>
    </row>
    <row r="72" spans="2:15" ht="18" customHeight="1">
      <c r="B72" s="9" t="s">
        <v>125</v>
      </c>
      <c r="C72" s="8"/>
      <c r="K72" s="9" t="s">
        <v>135</v>
      </c>
      <c r="N72" s="11">
        <f>'入力画面'!K34</f>
        <v>30</v>
      </c>
      <c r="O72" s="9" t="s">
        <v>136</v>
      </c>
    </row>
    <row r="73" spans="3:13" ht="18" customHeight="1">
      <c r="C73" s="9" t="s">
        <v>133</v>
      </c>
      <c r="E73" s="11">
        <f>'入力画面'!K29</f>
        <v>24</v>
      </c>
      <c r="F73" s="9" t="str">
        <f>'入力画面'!L29</f>
        <v>N/mm2</v>
      </c>
      <c r="K73" s="9" t="s">
        <v>20</v>
      </c>
      <c r="M73" s="9" t="str">
        <f>D78&amp;"@"&amp;E78</f>
        <v>D16@125</v>
      </c>
    </row>
    <row r="74" spans="3:13" ht="18" customHeight="1">
      <c r="C74" s="9" t="s">
        <v>134</v>
      </c>
      <c r="E74" s="11">
        <f>'入力画面'!K30</f>
        <v>24.5</v>
      </c>
      <c r="F74" s="9" t="str">
        <f>'入力画面'!L30</f>
        <v>kN/m3</v>
      </c>
      <c r="K74" s="9" t="s">
        <v>21</v>
      </c>
      <c r="M74" s="9" t="str">
        <f>D79&amp;"@"&amp;E79</f>
        <v>D16@125</v>
      </c>
    </row>
    <row r="75" spans="2:4" ht="18" customHeight="1">
      <c r="B75" s="9" t="s">
        <v>123</v>
      </c>
      <c r="C75" s="9" t="s">
        <v>124</v>
      </c>
      <c r="D75" s="9" t="str">
        <f>データ!$C$4</f>
        <v>SD295A</v>
      </c>
    </row>
    <row r="76" spans="3:6" ht="18" customHeight="1">
      <c r="C76" s="136" t="s">
        <v>545</v>
      </c>
      <c r="D76" s="98" t="s">
        <v>548</v>
      </c>
      <c r="E76" s="98" t="s">
        <v>547</v>
      </c>
      <c r="F76" s="98" t="s">
        <v>549</v>
      </c>
    </row>
    <row r="77" spans="3:6" ht="18" customHeight="1">
      <c r="C77" s="137"/>
      <c r="D77" s="99" t="s">
        <v>546</v>
      </c>
      <c r="E77" s="99" t="s">
        <v>22</v>
      </c>
      <c r="F77" s="99" t="s">
        <v>22</v>
      </c>
    </row>
    <row r="78" spans="3:6" ht="18" customHeight="1">
      <c r="C78" s="93" t="s">
        <v>543</v>
      </c>
      <c r="D78" s="93" t="str">
        <f>データ!C32</f>
        <v>D16</v>
      </c>
      <c r="E78" s="88">
        <f>'入力画面'!J34</f>
        <v>125</v>
      </c>
      <c r="F78" s="88">
        <f>'入力画面'!K34</f>
        <v>30</v>
      </c>
    </row>
    <row r="79" spans="3:6" ht="18" customHeight="1">
      <c r="C79" s="93" t="s">
        <v>544</v>
      </c>
      <c r="D79" s="93" t="str">
        <f>データ!C45</f>
        <v>D16</v>
      </c>
      <c r="E79" s="88">
        <f>'入力画面'!J35</f>
        <v>125</v>
      </c>
      <c r="F79" s="93">
        <f>'入力画面'!K35</f>
        <v>30</v>
      </c>
    </row>
    <row r="80" ht="18" customHeight="1">
      <c r="B80" s="9" t="s">
        <v>126</v>
      </c>
    </row>
    <row r="81" spans="3:15" ht="18" customHeight="1">
      <c r="C81" s="9" t="str">
        <f>"コンクリートの曲げ圧縮応力度"</f>
        <v>コンクリートの曲げ圧縮応力度</v>
      </c>
      <c r="F81" s="9" t="str">
        <f>M81&amp;N81&amp;O81</f>
        <v>σca=8N/mm2</v>
      </c>
      <c r="M81" s="9" t="s">
        <v>137</v>
      </c>
      <c r="N81" s="11">
        <f>'入力画面'!K37</f>
        <v>8</v>
      </c>
      <c r="O81" s="9" t="s">
        <v>27</v>
      </c>
    </row>
    <row r="82" spans="3:15" ht="18" customHeight="1">
      <c r="C82" s="9" t="str">
        <f>"コンクリートのせん断応力度 "</f>
        <v>コンクリートのせん断応力度 </v>
      </c>
      <c r="F82" s="9" t="str">
        <f>M82&amp;N82&amp;O82</f>
        <v>τca=0.39N/mm2</v>
      </c>
      <c r="M82" s="9" t="s">
        <v>138</v>
      </c>
      <c r="N82" s="11">
        <f>'入力画面'!K38</f>
        <v>0.39</v>
      </c>
      <c r="O82" s="9" t="s">
        <v>27</v>
      </c>
    </row>
    <row r="83" spans="3:15" ht="18" customHeight="1">
      <c r="C83" s="9" t="str">
        <f>"鉄筋の引張応力度 "</f>
        <v>鉄筋の引張応力度 </v>
      </c>
      <c r="F83" s="9" t="str">
        <f>M83&amp;N83&amp;O83</f>
        <v>σsa=180N/mm2</v>
      </c>
      <c r="M83" s="9" t="s">
        <v>139</v>
      </c>
      <c r="N83" s="11">
        <f>'入力画面'!K39</f>
        <v>180</v>
      </c>
      <c r="O83" s="9" t="s">
        <v>27</v>
      </c>
    </row>
    <row r="84" ht="18" customHeight="1">
      <c r="A84" s="9" t="s">
        <v>462</v>
      </c>
    </row>
    <row r="85" spans="2:4" ht="18" customHeight="1">
      <c r="B85" s="9" t="s">
        <v>463</v>
      </c>
      <c r="D85" s="9" t="str">
        <f>"安全率 Fs≧"&amp;'入力画面'!E35</f>
        <v>安全率 Fs≧1.5</v>
      </c>
    </row>
    <row r="86" ht="18" customHeight="1">
      <c r="D86" s="9" t="str">
        <f>"底版幅と許容偏心量の比 B/ea≧"&amp;'入力画面'!E36</f>
        <v>底版幅と許容偏心量の比 B/ea≧6</v>
      </c>
    </row>
    <row r="87" spans="2:4" ht="18" customHeight="1">
      <c r="B87" s="9" t="s">
        <v>464</v>
      </c>
      <c r="D87" s="9" t="str">
        <f>"安全率 Fs≧"&amp;'入力画面'!E37</f>
        <v>安全率 Fs≧1.5</v>
      </c>
    </row>
    <row r="88" spans="2:4" ht="18" customHeight="1">
      <c r="B88" s="9" t="s">
        <v>465</v>
      </c>
      <c r="D88" s="9" t="str">
        <f>"最大地盤反力度q1≦"&amp;F53&amp;G53</f>
        <v>最大地盤反力度q1≦300kN/m2</v>
      </c>
    </row>
    <row r="92" ht="18" customHeight="1">
      <c r="A92" s="9" t="s">
        <v>157</v>
      </c>
    </row>
    <row r="93" ht="18" customHeight="1">
      <c r="A93" s="9" t="s">
        <v>444</v>
      </c>
    </row>
    <row r="94" ht="18" customHeight="1">
      <c r="B94" s="9" t="s">
        <v>445</v>
      </c>
    </row>
    <row r="95" ht="18" customHeight="1">
      <c r="B95" s="9" t="s">
        <v>446</v>
      </c>
    </row>
    <row r="116" spans="1:2" ht="18" customHeight="1">
      <c r="A116" s="14" t="s">
        <v>447</v>
      </c>
      <c r="B116" s="15"/>
    </row>
    <row r="117" spans="1:2" ht="18" customHeight="1">
      <c r="A117" s="14"/>
      <c r="B117" s="16" t="s">
        <v>158</v>
      </c>
    </row>
    <row r="145" spans="2:7" ht="18" customHeight="1">
      <c r="B145" s="20" t="s">
        <v>159</v>
      </c>
      <c r="C145" s="21" t="s">
        <v>161</v>
      </c>
      <c r="D145" s="21" t="s">
        <v>163</v>
      </c>
      <c r="E145" s="21" t="s">
        <v>164</v>
      </c>
      <c r="F145" s="21" t="s">
        <v>165</v>
      </c>
      <c r="G145" s="22" t="s">
        <v>166</v>
      </c>
    </row>
    <row r="146" spans="2:7" ht="18" customHeight="1">
      <c r="B146" s="23">
        <v>0</v>
      </c>
      <c r="C146" s="24">
        <f>データ!F50</f>
        <v>0</v>
      </c>
      <c r="D146" s="24">
        <f>データ!G50</f>
        <v>0</v>
      </c>
      <c r="E146" s="17">
        <f>1/2*(C147*D146-C146*D147)</f>
        <v>0</v>
      </c>
      <c r="F146" s="17">
        <f>-1/2*(D147-D146)*(C146^2+1/3*(C147-C146)*(C147+2*C146))</f>
        <v>0</v>
      </c>
      <c r="G146" s="18">
        <f>1/2*(C147-C146)*(D146^2+1/3*(D147-D146)*(D147+2*D146))</f>
        <v>0</v>
      </c>
    </row>
    <row r="147" spans="2:7" ht="18" customHeight="1">
      <c r="B147" s="23">
        <v>1</v>
      </c>
      <c r="C147" s="24">
        <f>データ!F51</f>
        <v>0</v>
      </c>
      <c r="D147" s="24">
        <f>データ!G51</f>
        <v>2.5</v>
      </c>
      <c r="E147" s="17">
        <f>1/2*(C148*D147-C147*D148)</f>
        <v>0.125</v>
      </c>
      <c r="F147" s="17">
        <f>-1/2*(D148-D147)*(C147^2+1/3*(C148-C147)*(C148+2*C147))</f>
        <v>0</v>
      </c>
      <c r="G147" s="18">
        <f>1/2*(C148-C147)*(D147^2+1/3*(D148-D147)*(D148+2*D147))</f>
        <v>0.3125</v>
      </c>
    </row>
    <row r="148" spans="2:7" ht="18" customHeight="1">
      <c r="B148" s="23">
        <f>B147+1</f>
        <v>2</v>
      </c>
      <c r="C148" s="24">
        <f>データ!F52</f>
        <v>0.1</v>
      </c>
      <c r="D148" s="24">
        <f>データ!G52</f>
        <v>2.5</v>
      </c>
      <c r="E148" s="17">
        <f>1/2*(C149*D148-C148*D149)</f>
        <v>0.010000000000000009</v>
      </c>
      <c r="F148" s="17">
        <f>-1/2*(D149-D148)*(C148^2+1/3*(C149-C148)*(C149+2*C148))</f>
        <v>0.001000000000000001</v>
      </c>
      <c r="G148" s="18">
        <f>1/2*(C149-C148)*(D148^2+1/3*(D149-D148)*(D149+2*D148))</f>
        <v>0</v>
      </c>
    </row>
    <row r="149" spans="2:7" ht="18" customHeight="1">
      <c r="B149" s="23">
        <f aca="true" t="shared" si="0" ref="B149:B155">B148+1</f>
        <v>3</v>
      </c>
      <c r="C149" s="24">
        <f>データ!F53</f>
        <v>0.1</v>
      </c>
      <c r="D149" s="24">
        <f>データ!G53</f>
        <v>2.3</v>
      </c>
      <c r="E149" s="17">
        <f aca="true" t="shared" si="1" ref="E149:E154">1/2*(C150*D149-C149*D150)</f>
        <v>0.23199999999999998</v>
      </c>
      <c r="F149" s="17">
        <f aca="true" t="shared" si="2" ref="F149:F154">-1/2*(D150-D149)*(C149^2+1/3*(C150-C149)*(C150+2*C149))</f>
        <v>0.025192</v>
      </c>
      <c r="G149" s="18">
        <f aca="true" t="shared" si="3" ref="G149:G154">1/2*(C150-C149)*(D149^2+1/3*(D150-D149)*(D150+2*D149))</f>
        <v>0.12864799999999998</v>
      </c>
    </row>
    <row r="150" spans="2:7" ht="18" customHeight="1">
      <c r="B150" s="23">
        <f t="shared" si="0"/>
        <v>4</v>
      </c>
      <c r="C150" s="24">
        <f>データ!F54</f>
        <v>0.22</v>
      </c>
      <c r="D150" s="24">
        <f>データ!G54</f>
        <v>0.42000000000000004</v>
      </c>
      <c r="E150" s="17">
        <f t="shared" si="1"/>
        <v>0.06400000000000002</v>
      </c>
      <c r="F150" s="17">
        <f t="shared" si="2"/>
        <v>0.010573333333333337</v>
      </c>
      <c r="G150" s="18">
        <f t="shared" si="3"/>
        <v>0.010573333333333337</v>
      </c>
    </row>
    <row r="151" spans="2:7" ht="18" customHeight="1">
      <c r="B151" s="23">
        <f t="shared" si="0"/>
        <v>5</v>
      </c>
      <c r="C151" s="24">
        <f>データ!F55</f>
        <v>0.42000000000000004</v>
      </c>
      <c r="D151" s="24">
        <f>データ!G55</f>
        <v>0.22</v>
      </c>
      <c r="E151" s="17">
        <f t="shared" si="1"/>
        <v>0.177</v>
      </c>
      <c r="F151" s="17">
        <f t="shared" si="2"/>
        <v>0.083448</v>
      </c>
      <c r="G151" s="18">
        <f t="shared" si="3"/>
        <v>0.018491999999999998</v>
      </c>
    </row>
    <row r="152" spans="2:7" ht="18" customHeight="1">
      <c r="B152" s="23">
        <f t="shared" si="0"/>
        <v>6</v>
      </c>
      <c r="C152" s="24">
        <f>データ!F56</f>
        <v>1.8</v>
      </c>
      <c r="D152" s="24">
        <f>データ!G56</f>
        <v>0.1</v>
      </c>
      <c r="E152" s="17">
        <f t="shared" si="1"/>
        <v>0.015</v>
      </c>
      <c r="F152" s="17">
        <f t="shared" si="2"/>
        <v>0</v>
      </c>
      <c r="G152" s="18">
        <f t="shared" si="3"/>
        <v>0.0015000000000000005</v>
      </c>
    </row>
    <row r="153" spans="2:7" ht="18" customHeight="1">
      <c r="B153" s="23">
        <f t="shared" si="0"/>
        <v>7</v>
      </c>
      <c r="C153" s="24">
        <f>データ!F57</f>
        <v>2.1</v>
      </c>
      <c r="D153" s="24">
        <f>データ!G57</f>
        <v>0.1</v>
      </c>
      <c r="E153" s="17">
        <f t="shared" si="1"/>
        <v>0.10500000000000001</v>
      </c>
      <c r="F153" s="17">
        <f t="shared" si="2"/>
        <v>0.22050000000000003</v>
      </c>
      <c r="G153" s="18">
        <f t="shared" si="3"/>
        <v>0</v>
      </c>
    </row>
    <row r="154" spans="2:7" ht="18" customHeight="1">
      <c r="B154" s="23">
        <f t="shared" si="0"/>
        <v>8</v>
      </c>
      <c r="C154" s="24">
        <f>データ!F58</f>
        <v>2.1</v>
      </c>
      <c r="D154" s="24">
        <f>データ!G58</f>
        <v>0</v>
      </c>
      <c r="E154" s="17">
        <f t="shared" si="1"/>
        <v>0</v>
      </c>
      <c r="F154" s="17">
        <f t="shared" si="2"/>
        <v>0</v>
      </c>
      <c r="G154" s="18">
        <f t="shared" si="3"/>
        <v>0</v>
      </c>
    </row>
    <row r="155" spans="2:7" ht="18" customHeight="1">
      <c r="B155" s="23">
        <f t="shared" si="0"/>
        <v>9</v>
      </c>
      <c r="C155" s="24">
        <f>データ!F59</f>
        <v>0</v>
      </c>
      <c r="D155" s="24">
        <f>データ!G59</f>
        <v>0</v>
      </c>
      <c r="E155" s="25">
        <v>0</v>
      </c>
      <c r="F155" s="25">
        <v>0</v>
      </c>
      <c r="G155" s="26">
        <v>0</v>
      </c>
    </row>
    <row r="156" spans="2:7" ht="18" customHeight="1">
      <c r="B156" s="20" t="s">
        <v>167</v>
      </c>
      <c r="C156" s="21" t="s">
        <v>170</v>
      </c>
      <c r="D156" s="21" t="s">
        <v>170</v>
      </c>
      <c r="E156" s="27">
        <f>ROUND(SUM(E146:E155),3)</f>
        <v>0.728</v>
      </c>
      <c r="F156" s="27">
        <f>ROUND(SUM(F146:F155),3)</f>
        <v>0.341</v>
      </c>
      <c r="G156" s="28">
        <f>ROUND(SUM(G146:G155),3)</f>
        <v>0.472</v>
      </c>
    </row>
    <row r="157" spans="3:4" ht="18" customHeight="1">
      <c r="C157" s="9" t="s">
        <v>168</v>
      </c>
      <c r="D157" s="9" t="str">
        <f>"Wc= "&amp;E156&amp;" × "&amp;E74&amp;" = "&amp;K158&amp;L158</f>
        <v>Wc= 0.728 × 24.5 = 17.84kN/m</v>
      </c>
    </row>
    <row r="158" spans="3:12" ht="18" customHeight="1">
      <c r="C158" s="9" t="s">
        <v>169</v>
      </c>
      <c r="D158" s="135" t="s">
        <v>172</v>
      </c>
      <c r="E158" s="66">
        <f>F156</f>
        <v>0.341</v>
      </c>
      <c r="F158" s="131" t="str">
        <f>"=  "&amp;K159&amp;L159</f>
        <v>=  0.47m</v>
      </c>
      <c r="J158" s="9" t="s">
        <v>171</v>
      </c>
      <c r="K158" s="9">
        <f>ROUND(E156*E74,2)</f>
        <v>17.84</v>
      </c>
      <c r="L158" s="9" t="s">
        <v>70</v>
      </c>
    </row>
    <row r="159" spans="4:12" ht="18" customHeight="1">
      <c r="D159" s="135"/>
      <c r="E159" s="67">
        <f>E156</f>
        <v>0.728</v>
      </c>
      <c r="F159" s="131"/>
      <c r="J159" s="9" t="s">
        <v>172</v>
      </c>
      <c r="K159" s="9">
        <f>ROUND(F156/E156,2)</f>
        <v>0.47</v>
      </c>
      <c r="L159" s="9" t="s">
        <v>71</v>
      </c>
    </row>
    <row r="160" spans="4:12" ht="18" customHeight="1">
      <c r="D160" s="135" t="s">
        <v>173</v>
      </c>
      <c r="E160" s="66">
        <f>G156</f>
        <v>0.472</v>
      </c>
      <c r="F160" s="131" t="str">
        <f>"=  "&amp;K160&amp;L160</f>
        <v>=  0.65m</v>
      </c>
      <c r="J160" s="9" t="s">
        <v>173</v>
      </c>
      <c r="K160" s="9">
        <f>ROUND(G156/E156,2)</f>
        <v>0.65</v>
      </c>
      <c r="L160" s="9" t="s">
        <v>71</v>
      </c>
    </row>
    <row r="161" spans="4:6" ht="18" customHeight="1">
      <c r="D161" s="135"/>
      <c r="E161" s="67">
        <f>E156</f>
        <v>0.728</v>
      </c>
      <c r="F161" s="131"/>
    </row>
    <row r="163" spans="1:2" ht="18" customHeight="1">
      <c r="A163" s="14" t="s">
        <v>448</v>
      </c>
      <c r="B163" s="15"/>
    </row>
    <row r="164" spans="1:2" ht="18" customHeight="1">
      <c r="A164" s="14"/>
      <c r="B164" s="9" t="s">
        <v>449</v>
      </c>
    </row>
    <row r="181" spans="2:7" ht="18" customHeight="1">
      <c r="B181" s="20" t="s">
        <v>159</v>
      </c>
      <c r="C181" s="21" t="s">
        <v>161</v>
      </c>
      <c r="D181" s="21" t="s">
        <v>163</v>
      </c>
      <c r="E181" s="21" t="s">
        <v>164</v>
      </c>
      <c r="F181" s="21" t="s">
        <v>165</v>
      </c>
      <c r="G181" s="22" t="s">
        <v>166</v>
      </c>
    </row>
    <row r="182" spans="2:7" ht="18" customHeight="1">
      <c r="B182" s="23">
        <v>0</v>
      </c>
      <c r="C182" s="24">
        <f>C148</f>
        <v>0.1</v>
      </c>
      <c r="D182" s="24">
        <f>D148</f>
        <v>2.5</v>
      </c>
      <c r="E182" s="17">
        <f>1/2*(C183*D182-C182*D183)</f>
        <v>0</v>
      </c>
      <c r="F182" s="17">
        <f>-1/2*(D183-D182)*(C182^2+1/3*(C183-C182)*(C183+2*C182))</f>
        <v>0</v>
      </c>
      <c r="G182" s="18">
        <f>1/2*(C183-C182)*(D182^2+1/3*(D183-D182)*(D183+2*D182))</f>
        <v>0</v>
      </c>
    </row>
    <row r="183" spans="2:7" ht="18" customHeight="1">
      <c r="B183" s="23">
        <f>B182+1</f>
        <v>1</v>
      </c>
      <c r="C183" s="24">
        <f>C182+D45</f>
        <v>0.1</v>
      </c>
      <c r="D183" s="24">
        <f>D182</f>
        <v>2.5</v>
      </c>
      <c r="E183" s="17">
        <f>1/2*(C184*D183-C183*D184)</f>
        <v>1.825</v>
      </c>
      <c r="F183" s="17">
        <f>-1/2*(D184-D183)*(C183^2+1/3*(C184-C183)*(C184+2*C183))</f>
        <v>-0.455</v>
      </c>
      <c r="G183" s="18">
        <f>1/2*(C184-C183)*(D183^2+1/3*(D184-D183)*(D184+2*D183))</f>
        <v>6.812499999999999</v>
      </c>
    </row>
    <row r="184" spans="2:7" ht="18" customHeight="1">
      <c r="B184" s="23">
        <f aca="true" t="shared" si="4" ref="B184:B190">B183+1</f>
        <v>2</v>
      </c>
      <c r="C184" s="24">
        <f>ROUND(C183+D46*D47,2)</f>
        <v>1.6</v>
      </c>
      <c r="D184" s="24">
        <f>D183+D46</f>
        <v>3.5</v>
      </c>
      <c r="E184" s="17">
        <f>1/2*(C185*D184-C184*D185)</f>
        <v>0.875</v>
      </c>
      <c r="F184" s="17">
        <f>-1/2*(D185-D184)*(C184^2+1/3*(C185-C184)*(C185+2*C184))</f>
        <v>0</v>
      </c>
      <c r="G184" s="18">
        <f>1/2*(C185-C184)*(D184^2+1/3*(D185-D184)*(D185+2*D184))</f>
        <v>3.0625</v>
      </c>
    </row>
    <row r="185" spans="2:7" ht="18" customHeight="1">
      <c r="B185" s="23">
        <f t="shared" si="4"/>
        <v>3</v>
      </c>
      <c r="C185" s="24">
        <f>H32</f>
        <v>2.1</v>
      </c>
      <c r="D185" s="24">
        <f>D184</f>
        <v>3.5</v>
      </c>
      <c r="E185" s="17">
        <f aca="true" t="shared" si="5" ref="E185:E190">1/2*(C186*D185-C185*D186)</f>
        <v>3.5700000000000003</v>
      </c>
      <c r="F185" s="17">
        <f aca="true" t="shared" si="6" ref="F185:F190">-1/2*(D186-D185)*(C185^2+1/3*(C186-C185)*(C186+2*C185))</f>
        <v>7.497</v>
      </c>
      <c r="G185" s="18">
        <f aca="true" t="shared" si="7" ref="G185:G190">1/2*(C186-C185)*(D185^2+1/3*(D186-D185)*(D186+2*D185))</f>
        <v>0</v>
      </c>
    </row>
    <row r="186" spans="2:7" ht="18" customHeight="1">
      <c r="B186" s="23">
        <f t="shared" si="4"/>
        <v>4</v>
      </c>
      <c r="C186" s="24">
        <f>C185</f>
        <v>2.1</v>
      </c>
      <c r="D186" s="24">
        <f>D153</f>
        <v>0.1</v>
      </c>
      <c r="E186" s="17">
        <f t="shared" si="5"/>
        <v>-0.015</v>
      </c>
      <c r="F186" s="17">
        <f t="shared" si="6"/>
        <v>0</v>
      </c>
      <c r="G186" s="18">
        <f t="shared" si="7"/>
        <v>-0.0015000000000000005</v>
      </c>
    </row>
    <row r="187" spans="2:7" ht="18" customHeight="1">
      <c r="B187" s="23">
        <f t="shared" si="4"/>
        <v>5</v>
      </c>
      <c r="C187" s="24">
        <f>C152</f>
        <v>1.8</v>
      </c>
      <c r="D187" s="24">
        <f>D186</f>
        <v>0.1</v>
      </c>
      <c r="E187" s="17">
        <f t="shared" si="5"/>
        <v>-0.177</v>
      </c>
      <c r="F187" s="17">
        <f t="shared" si="6"/>
        <v>-0.083448</v>
      </c>
      <c r="G187" s="18">
        <f t="shared" si="7"/>
        <v>-0.018491999999999998</v>
      </c>
    </row>
    <row r="188" spans="2:7" ht="18" customHeight="1">
      <c r="B188" s="23">
        <f t="shared" si="4"/>
        <v>6</v>
      </c>
      <c r="C188" s="24">
        <f>C151</f>
        <v>0.42000000000000004</v>
      </c>
      <c r="D188" s="24">
        <f>D151</f>
        <v>0.22</v>
      </c>
      <c r="E188" s="17">
        <f t="shared" si="5"/>
        <v>-0.06400000000000002</v>
      </c>
      <c r="F188" s="17">
        <f t="shared" si="6"/>
        <v>-0.010573333333333337</v>
      </c>
      <c r="G188" s="18">
        <f t="shared" si="7"/>
        <v>-0.010573333333333337</v>
      </c>
    </row>
    <row r="189" spans="2:7" ht="18" customHeight="1">
      <c r="B189" s="23">
        <f t="shared" si="4"/>
        <v>7</v>
      </c>
      <c r="C189" s="24">
        <f>C150</f>
        <v>0.22</v>
      </c>
      <c r="D189" s="24">
        <f>D150</f>
        <v>0.42000000000000004</v>
      </c>
      <c r="E189" s="17">
        <f t="shared" si="5"/>
        <v>-0.23199999999999998</v>
      </c>
      <c r="F189" s="17">
        <f t="shared" si="6"/>
        <v>-0.025192</v>
      </c>
      <c r="G189" s="18">
        <f t="shared" si="7"/>
        <v>-0.12864799999999998</v>
      </c>
    </row>
    <row r="190" spans="2:7" ht="18" customHeight="1">
      <c r="B190" s="23">
        <f t="shared" si="4"/>
        <v>8</v>
      </c>
      <c r="C190" s="24">
        <f>C149</f>
        <v>0.1</v>
      </c>
      <c r="D190" s="24">
        <f>D149</f>
        <v>2.3</v>
      </c>
      <c r="E190" s="17">
        <f t="shared" si="5"/>
        <v>-0.010000000000000009</v>
      </c>
      <c r="F190" s="17">
        <f t="shared" si="6"/>
        <v>-0.001000000000000001</v>
      </c>
      <c r="G190" s="18">
        <f t="shared" si="7"/>
        <v>0</v>
      </c>
    </row>
    <row r="191" spans="2:7" ht="18" customHeight="1">
      <c r="B191" s="23">
        <f>B190+1</f>
        <v>9</v>
      </c>
      <c r="C191" s="24">
        <f>C182</f>
        <v>0.1</v>
      </c>
      <c r="D191" s="24">
        <f>D182</f>
        <v>2.5</v>
      </c>
      <c r="E191" s="25">
        <v>0</v>
      </c>
      <c r="F191" s="25">
        <v>0</v>
      </c>
      <c r="G191" s="26">
        <v>0</v>
      </c>
    </row>
    <row r="192" spans="2:7" ht="18" customHeight="1">
      <c r="B192" s="20" t="s">
        <v>167</v>
      </c>
      <c r="C192" s="21" t="s">
        <v>170</v>
      </c>
      <c r="D192" s="21" t="s">
        <v>170</v>
      </c>
      <c r="E192" s="27">
        <f>ROUND(SUM(E182:E191),3)</f>
        <v>5.772</v>
      </c>
      <c r="F192" s="27">
        <f>ROUND(SUM(F182:F191),3)</f>
        <v>6.922</v>
      </c>
      <c r="G192" s="28">
        <f>ROUND(SUM(G182:G191),3)</f>
        <v>9.716</v>
      </c>
    </row>
    <row r="193" spans="3:4" ht="18" customHeight="1">
      <c r="C193" s="9" t="s">
        <v>168</v>
      </c>
      <c r="D193" s="9" t="str">
        <f>"Ws= "&amp;E192&amp;" × "&amp;D48&amp;" = "&amp;K194&amp;L194</f>
        <v>Ws= 5.772 × 19 = 109.67kN/m</v>
      </c>
    </row>
    <row r="194" spans="3:12" ht="18" customHeight="1">
      <c r="C194" s="9" t="s">
        <v>169</v>
      </c>
      <c r="D194" s="135" t="s">
        <v>175</v>
      </c>
      <c r="E194" s="66">
        <f>F192</f>
        <v>6.922</v>
      </c>
      <c r="F194" s="131" t="str">
        <f>"=  "&amp;K195&amp;L195</f>
        <v>=  1.2m</v>
      </c>
      <c r="J194" s="9" t="s">
        <v>174</v>
      </c>
      <c r="K194" s="9">
        <f>ROUND(E192*D48,2)</f>
        <v>109.67</v>
      </c>
      <c r="L194" s="9" t="s">
        <v>70</v>
      </c>
    </row>
    <row r="195" spans="4:12" ht="18" customHeight="1">
      <c r="D195" s="135"/>
      <c r="E195" s="67">
        <f>E192</f>
        <v>5.772</v>
      </c>
      <c r="F195" s="131"/>
      <c r="J195" s="9" t="s">
        <v>175</v>
      </c>
      <c r="K195" s="9">
        <f>ROUND(F192/E192,2)</f>
        <v>1.2</v>
      </c>
      <c r="L195" s="9" t="s">
        <v>71</v>
      </c>
    </row>
    <row r="196" spans="4:12" ht="18" customHeight="1">
      <c r="D196" s="135" t="s">
        <v>176</v>
      </c>
      <c r="E196" s="66">
        <f>G192</f>
        <v>9.716</v>
      </c>
      <c r="F196" s="131" t="str">
        <f>"=  "&amp;K196&amp;L196</f>
        <v>=  1.68m</v>
      </c>
      <c r="J196" s="9" t="s">
        <v>176</v>
      </c>
      <c r="K196" s="9">
        <f>ROUND(G192/E192,2)</f>
        <v>1.68</v>
      </c>
      <c r="L196" s="9" t="s">
        <v>71</v>
      </c>
    </row>
    <row r="197" spans="4:6" ht="18" customHeight="1">
      <c r="D197" s="135"/>
      <c r="E197" s="67">
        <f>E192</f>
        <v>5.772</v>
      </c>
      <c r="F197" s="131"/>
    </row>
    <row r="198" ht="18" customHeight="1">
      <c r="A198" s="14" t="s">
        <v>450</v>
      </c>
    </row>
    <row r="199" spans="3:12" ht="18" customHeight="1">
      <c r="C199" s="9" t="s">
        <v>183</v>
      </c>
      <c r="D199" s="13" t="str">
        <f>データ!C86</f>
        <v>全体載荷</v>
      </c>
      <c r="J199" s="9" t="s">
        <v>672</v>
      </c>
      <c r="K199" s="9">
        <f>IF(データ!B86=1,'出力'!E65,0)</f>
        <v>10</v>
      </c>
      <c r="L199" s="9" t="s">
        <v>213</v>
      </c>
    </row>
    <row r="200" spans="3:12" ht="18" customHeight="1">
      <c r="C200" s="9" t="s">
        <v>184</v>
      </c>
      <c r="D200" s="9" t="str">
        <f>J200&amp;K200&amp;L200</f>
        <v>Bq=0.5m</v>
      </c>
      <c r="J200" s="9" t="s">
        <v>186</v>
      </c>
      <c r="K200" s="11">
        <f>ROUND(C185-C184,2)</f>
        <v>0.5</v>
      </c>
      <c r="L200" s="9" t="s">
        <v>71</v>
      </c>
    </row>
    <row r="201" spans="3:12" ht="18" customHeight="1">
      <c r="C201" s="9" t="s">
        <v>187</v>
      </c>
      <c r="D201" s="9" t="str">
        <f>"Vq = q × Bq = "&amp;K199&amp;" × "&amp;K200&amp;" = "&amp;K201&amp;L201</f>
        <v>Vq = q × Bq = 10 × 0.5 = 5kN/m</v>
      </c>
      <c r="J201" s="9" t="s">
        <v>188</v>
      </c>
      <c r="K201" s="9">
        <f>ROUND(K200*K199,2)</f>
        <v>5</v>
      </c>
      <c r="L201" s="9" t="s">
        <v>70</v>
      </c>
    </row>
    <row r="202" spans="3:12" ht="18" customHeight="1">
      <c r="C202" s="9" t="s">
        <v>185</v>
      </c>
      <c r="D202" s="9" t="str">
        <f>"xq = 1/2 ×(  "&amp;C184&amp;" + "&amp;C185&amp;")   = "&amp;K202&amp;L202</f>
        <v>xq = 1/2 ×(  1.6 + 2.1)   = 1.85m</v>
      </c>
      <c r="J202" s="9" t="s">
        <v>189</v>
      </c>
      <c r="K202" s="9">
        <f>ROUND((C184+C185)/2,2)</f>
        <v>1.85</v>
      </c>
      <c r="L202" s="9" t="s">
        <v>71</v>
      </c>
    </row>
    <row r="204" ht="18" customHeight="1">
      <c r="A204" s="14" t="s">
        <v>451</v>
      </c>
    </row>
    <row r="205" ht="18" customHeight="1">
      <c r="A205" s="9" t="s">
        <v>190</v>
      </c>
    </row>
    <row r="206" spans="2:7" ht="18" customHeight="1">
      <c r="B206" s="142"/>
      <c r="C206" s="143"/>
      <c r="D206" s="141" t="s">
        <v>196</v>
      </c>
      <c r="E206" s="141"/>
      <c r="F206" s="21" t="s">
        <v>197</v>
      </c>
      <c r="G206" s="22" t="s">
        <v>541</v>
      </c>
    </row>
    <row r="207" spans="2:7" ht="18" customHeight="1">
      <c r="B207" s="114" t="s">
        <v>89</v>
      </c>
      <c r="C207" s="115"/>
      <c r="D207" s="140" t="s">
        <v>195</v>
      </c>
      <c r="E207" s="140"/>
      <c r="F207" s="24">
        <f>ROUND('改良くさび法'!N9,2)</f>
        <v>16.21</v>
      </c>
      <c r="G207" s="32" t="str">
        <f>IF(データ!B$19=1,"採用","")</f>
        <v>採用</v>
      </c>
    </row>
    <row r="208" spans="2:7" ht="18" customHeight="1">
      <c r="B208" s="114" t="s">
        <v>90</v>
      </c>
      <c r="C208" s="115"/>
      <c r="D208" s="138" t="s">
        <v>191</v>
      </c>
      <c r="E208" s="138"/>
      <c r="F208" s="24">
        <f>0</f>
        <v>0</v>
      </c>
      <c r="G208" s="32">
        <f>IF(データ!B$19=2,"採用","")</f>
      </c>
    </row>
    <row r="209" spans="2:7" ht="18" customHeight="1">
      <c r="B209" s="114" t="s">
        <v>91</v>
      </c>
      <c r="C209" s="115"/>
      <c r="D209" s="138" t="s">
        <v>192</v>
      </c>
      <c r="E209" s="138"/>
      <c r="F209" s="24">
        <f>D49</f>
        <v>30</v>
      </c>
      <c r="G209" s="32">
        <f>IF(データ!B$19=3,"採用","")</f>
      </c>
    </row>
    <row r="210" spans="2:7" ht="18" customHeight="1">
      <c r="B210" s="116" t="s">
        <v>194</v>
      </c>
      <c r="C210" s="117"/>
      <c r="D210" s="139" t="s">
        <v>193</v>
      </c>
      <c r="E210" s="139"/>
      <c r="F210" s="33">
        <f>'入力画面'!E34</f>
        <v>30</v>
      </c>
      <c r="G210" s="34">
        <f>IF(データ!B$19=4,"採用","")</f>
      </c>
    </row>
    <row r="212" ht="18" customHeight="1">
      <c r="B212" s="9" t="s">
        <v>201</v>
      </c>
    </row>
    <row r="230" ht="18" customHeight="1">
      <c r="B230" s="9" t="s">
        <v>198</v>
      </c>
    </row>
    <row r="231" ht="18" customHeight="1">
      <c r="B231" s="9" t="s">
        <v>199</v>
      </c>
    </row>
    <row r="232" ht="18" customHeight="1">
      <c r="B232" s="9" t="s">
        <v>200</v>
      </c>
    </row>
    <row r="234" ht="18" customHeight="1">
      <c r="F234" s="11" t="str">
        <f>"(1)"</f>
        <v>(1)</v>
      </c>
    </row>
    <row r="237" ht="18" customHeight="1">
      <c r="F237" s="11" t="str">
        <f>"(2)"</f>
        <v>(2)</v>
      </c>
    </row>
    <row r="241" ht="18" customHeight="1">
      <c r="F241" s="11" t="str">
        <f>"(3)"</f>
        <v>(3)</v>
      </c>
    </row>
    <row r="243" spans="11:13" ht="18" customHeight="1">
      <c r="K243" s="9" t="s">
        <v>144</v>
      </c>
      <c r="L243" s="9">
        <f>D49</f>
        <v>30</v>
      </c>
      <c r="M243" s="9" t="s">
        <v>426</v>
      </c>
    </row>
    <row r="244" spans="2:16" ht="18" customHeight="1">
      <c r="B244" s="9" t="str">
        <f>"ω1="&amp;L244&amp;M244&amp;"   ，"&amp;K245&amp;L245&amp;M245</f>
        <v>ω1=56.6゜   ，ω2=71゜</v>
      </c>
      <c r="E244" s="9" t="str">
        <f>"W1="&amp;O244&amp;P244&amp;"   ，"&amp;N245&amp;O245&amp;P245</f>
        <v>W1=99.73kN/m   ，W2=37.51kN/m</v>
      </c>
      <c r="K244" s="9" t="s">
        <v>210</v>
      </c>
      <c r="L244" s="9">
        <f>ROUND('改良くさび法'!N3,1)</f>
        <v>56.6</v>
      </c>
      <c r="M244" s="9" t="s">
        <v>426</v>
      </c>
      <c r="N244" s="9" t="s">
        <v>422</v>
      </c>
      <c r="O244" s="9">
        <f>ROUND('改良くさび法'!N5,2)</f>
        <v>99.73</v>
      </c>
      <c r="P244" s="9" t="s">
        <v>427</v>
      </c>
    </row>
    <row r="245" spans="2:19" ht="18" customHeight="1">
      <c r="B245" s="135" t="s">
        <v>438</v>
      </c>
      <c r="C245" s="132" t="str">
        <f>"("&amp;O244&amp;"+"&amp;O245&amp;")×sin("&amp;L244&amp;"-"&amp;L243&amp;")"</f>
        <v>(99.73+37.51)×sin(56.6-30)</v>
      </c>
      <c r="D245" s="132"/>
      <c r="E245" s="132"/>
      <c r="F245" s="131" t="str">
        <f>"  ="&amp;R245&amp;S245</f>
        <v>  =66.51kN/m</v>
      </c>
      <c r="G245" s="131"/>
      <c r="K245" s="9" t="s">
        <v>421</v>
      </c>
      <c r="L245" s="9">
        <f>ROUND('改良くさび法'!N4,2)</f>
        <v>71</v>
      </c>
      <c r="M245" s="9" t="s">
        <v>426</v>
      </c>
      <c r="N245" s="9" t="s">
        <v>425</v>
      </c>
      <c r="O245" s="9">
        <f>ROUND('改良くさび法'!N6,2)</f>
        <v>37.51</v>
      </c>
      <c r="P245" s="9" t="s">
        <v>427</v>
      </c>
      <c r="Q245" s="9" t="s">
        <v>428</v>
      </c>
      <c r="R245" s="9">
        <f>ROUND('改良くさび法'!N7,2)</f>
        <v>66.51</v>
      </c>
      <c r="S245" s="9" t="s">
        <v>70</v>
      </c>
    </row>
    <row r="246" spans="2:13" ht="18" customHeight="1">
      <c r="B246" s="135"/>
      <c r="C246" s="134" t="str">
        <f>"sin("&amp;L244&amp;"＋"&amp;L245&amp;"-2×"&amp;L243&amp;")"</f>
        <v>sin(56.6＋71-2×30)</v>
      </c>
      <c r="D246" s="134"/>
      <c r="E246" s="134"/>
      <c r="F246" s="131"/>
      <c r="G246" s="131"/>
      <c r="K246" s="9" t="s">
        <v>155</v>
      </c>
      <c r="L246" s="9">
        <f>F207</f>
        <v>16.21</v>
      </c>
      <c r="M246" s="9" t="s">
        <v>426</v>
      </c>
    </row>
    <row r="247" spans="2:13" ht="18" customHeight="1">
      <c r="B247" s="118" t="s">
        <v>540</v>
      </c>
      <c r="C247" s="119" t="str">
        <f>R245&amp;"×cos("&amp;L245&amp;"-"&amp;L243&amp;")-"&amp;O245</f>
        <v>66.51×cos(71-30)-37.51</v>
      </c>
      <c r="D247" s="133"/>
      <c r="E247" s="133"/>
      <c r="F247" s="131" t="str">
        <f>" ="&amp;L246&amp;M246</f>
        <v> =16.21゜</v>
      </c>
      <c r="G247" s="131"/>
      <c r="K247" s="9" t="s">
        <v>218</v>
      </c>
      <c r="L247" s="9">
        <f>ROUND('改良くさび法'!N10,2)</f>
        <v>43.63</v>
      </c>
      <c r="M247" s="9" t="s">
        <v>427</v>
      </c>
    </row>
    <row r="248" spans="2:13" ht="18" customHeight="1">
      <c r="B248" s="118"/>
      <c r="C248" s="120" t="str">
        <f>R245&amp;"×sin("&amp;L245&amp;"-"&amp;L243&amp;")"</f>
        <v>66.51×sin(71-30)</v>
      </c>
      <c r="D248" s="121"/>
      <c r="E248" s="121"/>
      <c r="F248" s="131"/>
      <c r="G248" s="131"/>
      <c r="K248" s="9" t="s">
        <v>214</v>
      </c>
      <c r="L248" s="9">
        <f>ROUND('改良くさび法'!N11,2)</f>
        <v>45.44</v>
      </c>
      <c r="M248" s="9" t="s">
        <v>427</v>
      </c>
    </row>
    <row r="250" ht="18" customHeight="1">
      <c r="B250" s="9" t="s">
        <v>203</v>
      </c>
    </row>
    <row r="251" ht="18" customHeight="1">
      <c r="B251" s="9" t="s">
        <v>202</v>
      </c>
    </row>
    <row r="253" spans="1:14" ht="18" customHeight="1">
      <c r="A253" s="9" t="s">
        <v>205</v>
      </c>
      <c r="M253" s="9" t="s">
        <v>208</v>
      </c>
      <c r="N253" s="9">
        <f>データ!B19</f>
        <v>1</v>
      </c>
    </row>
    <row r="254" spans="2:17" ht="18" customHeight="1">
      <c r="B254" s="9" t="str">
        <f>"計算条件は，φ="&amp;N254&amp;"゜ ，δ= "&amp;N255&amp;"゜("&amp;データ!C19&amp;")"</f>
        <v>計算条件は，φ=30゜ ，δ= 16.21゜(改良試行くさび法)</v>
      </c>
      <c r="M254" s="9" t="s">
        <v>144</v>
      </c>
      <c r="N254" s="9">
        <f>D49</f>
        <v>30</v>
      </c>
      <c r="O254" s="9" t="s">
        <v>156</v>
      </c>
      <c r="P254" s="9">
        <f>N254*PI()/180</f>
        <v>0.5235987755982988</v>
      </c>
      <c r="Q254" s="9" t="s">
        <v>209</v>
      </c>
    </row>
    <row r="255" spans="13:17" ht="18" customHeight="1">
      <c r="M255" s="9" t="s">
        <v>207</v>
      </c>
      <c r="N255" s="9">
        <f>IF(N253=1,F207,IF(N253=2,F208,IF(N253=3,F209,F210)))</f>
        <v>16.21</v>
      </c>
      <c r="O255" s="9" t="s">
        <v>156</v>
      </c>
      <c r="P255" s="9">
        <f>N255*PI()/180</f>
        <v>0.28291787174828087</v>
      </c>
      <c r="Q255" s="9" t="s">
        <v>209</v>
      </c>
    </row>
    <row r="256" spans="13:17" ht="18" customHeight="1">
      <c r="M256" s="9" t="s">
        <v>210</v>
      </c>
      <c r="N256" s="9">
        <f>ROUND(P256*180/PI(),1)</f>
        <v>56.6</v>
      </c>
      <c r="O256" s="9" t="s">
        <v>271</v>
      </c>
      <c r="P256" s="9">
        <f>ATAN(COS(P254+P255)/((COS(P255)*SIN(P254+P255)/SIN(P254))^0.5-SIN(P254+P255)))</f>
        <v>0.9886041976291645</v>
      </c>
      <c r="Q256" s="9" t="s">
        <v>209</v>
      </c>
    </row>
    <row r="257" ht="18" customHeight="1">
      <c r="F257" s="9" t="str">
        <f>"="&amp;N256&amp;O256</f>
        <v>=56.6  ゜</v>
      </c>
    </row>
    <row r="261" ht="18" customHeight="1">
      <c r="A261" s="9" t="s">
        <v>204</v>
      </c>
    </row>
    <row r="262" ht="18" customHeight="1">
      <c r="B262" s="9" t="str">
        <f>B254</f>
        <v>計算条件は，φ=30゜ ，δ= 16.21゜(改良試行くさび法)</v>
      </c>
    </row>
    <row r="264" spans="6:14" ht="18" customHeight="1">
      <c r="F264" s="9" t="str">
        <f>"= "&amp;N264</f>
        <v>= 0.3</v>
      </c>
      <c r="M264" s="9" t="s">
        <v>211</v>
      </c>
      <c r="N264" s="9">
        <f>ROUND(COS(P254)^2/COS(P255)/(1+(SIN(P254+P255)*SIN(P254)/COS(P255))^0.5)^2,3)</f>
        <v>0.3</v>
      </c>
    </row>
    <row r="267" ht="18" customHeight="1">
      <c r="A267" s="9" t="s">
        <v>206</v>
      </c>
    </row>
    <row r="283" spans="6:8" ht="18" customHeight="1">
      <c r="F283" s="11">
        <f>IF(N295=1,"(採用)","")</f>
      </c>
      <c r="H283" s="11" t="str">
        <f>IF(N295=2,"(採用)","")</f>
        <v>(採用)</v>
      </c>
    </row>
    <row r="284" spans="2:15" ht="18" customHeight="1">
      <c r="B284" s="9" t="str">
        <f>"計算条件は，H="&amp;N284&amp;"m ，H0= "&amp;N285&amp;"m，γ= "&amp;N286&amp;"kN/m3，q= "&amp;N287&amp;"kN/m2"</f>
        <v>計算条件は，H=2.5m ，H0= 1m，γ= 19kN/m3，q= 10kN/m2</v>
      </c>
      <c r="M284" s="9" t="s">
        <v>14</v>
      </c>
      <c r="N284" s="9">
        <f>H27</f>
        <v>2.5</v>
      </c>
      <c r="O284" s="9" t="s">
        <v>71</v>
      </c>
    </row>
    <row r="285" spans="2:15" ht="18" customHeight="1">
      <c r="B285" s="9" t="str">
        <f>IF(N295=1,M296,M297)</f>
        <v>積載荷重があっても土圧分布は道路土工指針に準拠して三角形とする。</v>
      </c>
      <c r="M285" s="9" t="s">
        <v>141</v>
      </c>
      <c r="N285" s="9">
        <f>D46</f>
        <v>1</v>
      </c>
      <c r="O285" s="9" t="s">
        <v>71</v>
      </c>
    </row>
    <row r="286" spans="2:15" ht="18" customHeight="1">
      <c r="B286" s="13" t="str">
        <f>"仮想背面の高さ　HA=H+H0="&amp;N284&amp;" + "&amp;N285&amp;" ="&amp;N288&amp;O288</f>
        <v>仮想背面の高さ　HA=H+H0=2.5 + 1 =3.5 m</v>
      </c>
      <c r="M286" s="9" t="s">
        <v>143</v>
      </c>
      <c r="N286" s="9">
        <f>D48</f>
        <v>19</v>
      </c>
      <c r="O286" s="9" t="s">
        <v>212</v>
      </c>
    </row>
    <row r="287" spans="2:15" ht="18" customHeight="1">
      <c r="B287" s="9" t="s">
        <v>439</v>
      </c>
      <c r="M287" s="9" t="s">
        <v>151</v>
      </c>
      <c r="N287" s="9">
        <f>E65</f>
        <v>10</v>
      </c>
      <c r="O287" s="9" t="s">
        <v>213</v>
      </c>
    </row>
    <row r="288" spans="3:15" ht="18" customHeight="1">
      <c r="C288" s="9" t="str">
        <f>M289&amp;N289&amp;O289&amp;P289</f>
        <v>p1=00kN/m2</v>
      </c>
      <c r="M288" s="9" t="s">
        <v>226</v>
      </c>
      <c r="N288" s="9">
        <f>N284+N285</f>
        <v>3.5</v>
      </c>
      <c r="O288" s="9" t="s">
        <v>227</v>
      </c>
    </row>
    <row r="289" spans="3:16" ht="18" customHeight="1">
      <c r="C289" s="9" t="str">
        <f>M290&amp;N290&amp;P290&amp;Q290</f>
        <v>p2=γ・HA・KA{1+2q/(γ・HA)}=25.95kN/m2</v>
      </c>
      <c r="M289" s="9" t="s">
        <v>440</v>
      </c>
      <c r="N289" s="9" t="str">
        <f>IF(N295=1,"q・KA=","0")</f>
        <v>0</v>
      </c>
      <c r="O289" s="9">
        <f>IF(N295=1,ROUND(N287*N264,2),0)</f>
        <v>0</v>
      </c>
      <c r="P289" s="9" t="s">
        <v>213</v>
      </c>
    </row>
    <row r="290" spans="2:17" ht="18" customHeight="1">
      <c r="B290" s="9" t="s">
        <v>443</v>
      </c>
      <c r="M290" s="9" t="s">
        <v>441</v>
      </c>
      <c r="N290" s="9" t="str">
        <f>IF(N295=1,"(q+γ・HA)KA=","γ・HA・KA{1+2q/(γ・HA)}=")</f>
        <v>γ・HA・KA{1+2q/(γ・HA)}=</v>
      </c>
      <c r="P290" s="9">
        <f>ROUND(IF(N295=1,(N287+N286*N288)*N264,N286*N288*N264*(1+2*N287/N286/N288)),2)</f>
        <v>25.95</v>
      </c>
      <c r="Q290" s="9" t="s">
        <v>213</v>
      </c>
    </row>
    <row r="291" spans="3:17" ht="18" customHeight="1">
      <c r="C291" s="9" t="str">
        <f>"PA=1/2×(p1+p2)HA=1/2×("&amp;O289&amp;"+"&amp;P290&amp;")×"&amp;N288&amp;"="&amp;P291&amp;""&amp;Q291</f>
        <v>PA=1/2×(p1+p2)HA=1/2×(0+25.95)×3.5=45.41kN/m</v>
      </c>
      <c r="M291" s="9" t="s">
        <v>442</v>
      </c>
      <c r="P291" s="9">
        <f>ROUND(0.5*(O289+P290)*N288,2)</f>
        <v>45.41</v>
      </c>
      <c r="Q291" s="9" t="s">
        <v>70</v>
      </c>
    </row>
    <row r="292" spans="2:15" ht="18" customHeight="1">
      <c r="B292" s="9" t="s">
        <v>216</v>
      </c>
      <c r="C292" s="9" t="str">
        <f>"PAV=PA×sinδ="&amp;N292&amp;"×sin"&amp;N255&amp;"="&amp;N293&amp;O293</f>
        <v>PAV=PA×sinδ=45.41×sin16.21=12.68 kN/m</v>
      </c>
      <c r="M292" s="9" t="s">
        <v>214</v>
      </c>
      <c r="N292" s="9">
        <f>ROUND(0.5*N286*(N284+N285)^2*N264*(1+2*N287/(N286*(N284+N285))),2)</f>
        <v>45.41</v>
      </c>
      <c r="O292" s="9" t="s">
        <v>215</v>
      </c>
    </row>
    <row r="293" spans="2:15" ht="18" customHeight="1">
      <c r="B293" s="9" t="s">
        <v>219</v>
      </c>
      <c r="C293" s="9" t="str">
        <f>"PAV=PA×cosδ="&amp;N292&amp;"×cos"&amp;N255&amp;"="&amp;N294&amp;O294</f>
        <v>PAV=PA×cosδ=45.41×cos16.21=43.6 kN/m</v>
      </c>
      <c r="M293" s="9" t="s">
        <v>217</v>
      </c>
      <c r="N293" s="9">
        <f>ROUND(N292*SIN(P255),2)</f>
        <v>12.68</v>
      </c>
      <c r="O293" s="9" t="s">
        <v>215</v>
      </c>
    </row>
    <row r="294" spans="13:15" ht="18" customHeight="1">
      <c r="M294" s="9" t="s">
        <v>218</v>
      </c>
      <c r="N294" s="9">
        <f>ROUND(N292*COS(P255),2)</f>
        <v>43.6</v>
      </c>
      <c r="O294" s="9" t="s">
        <v>215</v>
      </c>
    </row>
    <row r="295" spans="1:14" ht="18" customHeight="1">
      <c r="A295" s="9" t="s">
        <v>220</v>
      </c>
      <c r="M295" s="9" t="s">
        <v>225</v>
      </c>
      <c r="N295" s="9">
        <f>データ!B12</f>
        <v>2</v>
      </c>
    </row>
    <row r="296" spans="2:13" ht="18" customHeight="1">
      <c r="B296" s="9" t="str">
        <f>"xA=B="&amp;N298&amp;O298</f>
        <v>xA=B=2.1  m</v>
      </c>
      <c r="M296" s="9" t="s">
        <v>223</v>
      </c>
    </row>
    <row r="297" spans="4:13" ht="18" customHeight="1">
      <c r="D297" s="122" t="str">
        <f>N288&amp;"×(2×"&amp;O289&amp;"+"&amp;P290&amp;")"</f>
        <v>3.5×(2×0+25.95)</v>
      </c>
      <c r="E297" s="122"/>
      <c r="F297" s="131" t="str">
        <f>"  ="&amp;N299&amp;O299</f>
        <v>  =1.17 m</v>
      </c>
      <c r="G297" s="131"/>
      <c r="M297" s="9" t="s">
        <v>224</v>
      </c>
    </row>
    <row r="298" spans="4:15" ht="18" customHeight="1">
      <c r="D298" s="128" t="str">
        <f>"3×("&amp;O289&amp;"+"&amp;P290&amp;")"</f>
        <v>3×(0+25.95)</v>
      </c>
      <c r="E298" s="128"/>
      <c r="F298" s="131"/>
      <c r="G298" s="131"/>
      <c r="M298" s="9" t="s">
        <v>16</v>
      </c>
      <c r="N298" s="9">
        <f>H32</f>
        <v>2.1</v>
      </c>
      <c r="O298" s="9" t="s">
        <v>221</v>
      </c>
    </row>
    <row r="299" spans="13:15" ht="18" customHeight="1">
      <c r="M299" s="9" t="s">
        <v>222</v>
      </c>
      <c r="N299" s="9">
        <f>ROUND(N288/3*(2*O289+P290)/(O289+P290),2)</f>
        <v>1.17</v>
      </c>
      <c r="O299" s="9" t="s">
        <v>227</v>
      </c>
    </row>
    <row r="300" ht="18" customHeight="1">
      <c r="A300" s="14" t="s">
        <v>245</v>
      </c>
    </row>
    <row r="302" spans="2:8" ht="18" customHeight="1">
      <c r="B302" s="144"/>
      <c r="C302" s="35" t="s">
        <v>78</v>
      </c>
      <c r="D302" s="35" t="s">
        <v>77</v>
      </c>
      <c r="E302" s="141" t="s">
        <v>230</v>
      </c>
      <c r="F302" s="141"/>
      <c r="G302" s="141" t="s">
        <v>233</v>
      </c>
      <c r="H302" s="113"/>
    </row>
    <row r="303" spans="2:8" ht="18" customHeight="1">
      <c r="B303" s="145"/>
      <c r="C303" s="33" t="s">
        <v>228</v>
      </c>
      <c r="D303" s="33" t="s">
        <v>229</v>
      </c>
      <c r="E303" s="33" t="s">
        <v>160</v>
      </c>
      <c r="F303" s="33" t="s">
        <v>162</v>
      </c>
      <c r="G303" s="33" t="s">
        <v>231</v>
      </c>
      <c r="H303" s="34" t="s">
        <v>232</v>
      </c>
    </row>
    <row r="304" spans="2:8" ht="18" customHeight="1">
      <c r="B304" s="36" t="s">
        <v>234</v>
      </c>
      <c r="C304" s="37">
        <f>K158</f>
        <v>17.84</v>
      </c>
      <c r="D304" s="37">
        <v>0</v>
      </c>
      <c r="E304" s="37">
        <f>K159</f>
        <v>0.47</v>
      </c>
      <c r="F304" s="37">
        <f>K160</f>
        <v>0.65</v>
      </c>
      <c r="G304" s="37">
        <f aca="true" t="shared" si="8" ref="G304:H308">ROUND(C304*E304,2)</f>
        <v>8.38</v>
      </c>
      <c r="H304" s="39">
        <f t="shared" si="8"/>
        <v>0</v>
      </c>
    </row>
    <row r="305" spans="2:8" ht="18" customHeight="1">
      <c r="B305" s="36" t="s">
        <v>236</v>
      </c>
      <c r="C305" s="37">
        <f>K194</f>
        <v>109.67</v>
      </c>
      <c r="D305" s="37">
        <v>0</v>
      </c>
      <c r="E305" s="37">
        <f>K195</f>
        <v>1.2</v>
      </c>
      <c r="F305" s="37">
        <f>K196</f>
        <v>1.68</v>
      </c>
      <c r="G305" s="37">
        <f t="shared" si="8"/>
        <v>131.6</v>
      </c>
      <c r="H305" s="39">
        <f t="shared" si="8"/>
        <v>0</v>
      </c>
    </row>
    <row r="306" spans="2:8" ht="18" customHeight="1">
      <c r="B306" s="36" t="s">
        <v>237</v>
      </c>
      <c r="C306" s="37">
        <f>K201</f>
        <v>5</v>
      </c>
      <c r="D306" s="37">
        <v>0</v>
      </c>
      <c r="E306" s="37">
        <f>K202</f>
        <v>1.85</v>
      </c>
      <c r="F306" s="37">
        <v>0</v>
      </c>
      <c r="G306" s="37">
        <f t="shared" si="8"/>
        <v>9.25</v>
      </c>
      <c r="H306" s="39">
        <f t="shared" si="8"/>
        <v>0</v>
      </c>
    </row>
    <row r="307" spans="2:8" ht="18" customHeight="1">
      <c r="B307" s="36" t="s">
        <v>238</v>
      </c>
      <c r="C307" s="37">
        <f>N293</f>
        <v>12.68</v>
      </c>
      <c r="D307" s="37">
        <f>N294</f>
        <v>43.6</v>
      </c>
      <c r="E307" s="37">
        <f>N298</f>
        <v>2.1</v>
      </c>
      <c r="F307" s="37">
        <f>N299</f>
        <v>1.17</v>
      </c>
      <c r="G307" s="37">
        <f t="shared" si="8"/>
        <v>26.63</v>
      </c>
      <c r="H307" s="39">
        <f t="shared" si="8"/>
        <v>51.01</v>
      </c>
    </row>
    <row r="308" spans="2:8" ht="18" customHeight="1">
      <c r="B308" s="36" t="s">
        <v>239</v>
      </c>
      <c r="C308" s="37">
        <f>E70</f>
        <v>0</v>
      </c>
      <c r="D308" s="37">
        <f>E69</f>
        <v>5</v>
      </c>
      <c r="E308" s="37">
        <f>H37/2</f>
        <v>0.05</v>
      </c>
      <c r="F308" s="37">
        <f>E68+H27</f>
        <v>3.6</v>
      </c>
      <c r="G308" s="37">
        <f t="shared" si="8"/>
        <v>0</v>
      </c>
      <c r="H308" s="39">
        <f t="shared" si="8"/>
        <v>18</v>
      </c>
    </row>
    <row r="309" spans="2:15" ht="18" customHeight="1">
      <c r="B309" s="20" t="s">
        <v>235</v>
      </c>
      <c r="C309" s="38">
        <f>SUM(C304:C308)</f>
        <v>145.19</v>
      </c>
      <c r="D309" s="38">
        <f>SUM(D304:D308)</f>
        <v>48.6</v>
      </c>
      <c r="E309" s="21" t="s">
        <v>170</v>
      </c>
      <c r="F309" s="21" t="s">
        <v>170</v>
      </c>
      <c r="G309" s="38">
        <f>SUM(G304:G308)</f>
        <v>175.85999999999999</v>
      </c>
      <c r="H309" s="40">
        <f>SUM(H304:H308)</f>
        <v>69.00999999999999</v>
      </c>
      <c r="M309" s="11" t="s">
        <v>243</v>
      </c>
      <c r="N309" s="11">
        <f>G309-H309</f>
        <v>106.85</v>
      </c>
      <c r="O309" s="9" t="s">
        <v>246</v>
      </c>
    </row>
    <row r="310" spans="2:5" ht="18" customHeight="1">
      <c r="B310" s="9" t="s">
        <v>79</v>
      </c>
      <c r="C310" s="11" t="s">
        <v>241</v>
      </c>
      <c r="D310" s="11">
        <f>C309</f>
        <v>145.19</v>
      </c>
      <c r="E310" s="9" t="s">
        <v>70</v>
      </c>
    </row>
    <row r="311" spans="2:15" ht="18" customHeight="1">
      <c r="B311" s="9" t="s">
        <v>240</v>
      </c>
      <c r="C311" s="11" t="s">
        <v>242</v>
      </c>
      <c r="D311" s="11">
        <f>D309</f>
        <v>48.6</v>
      </c>
      <c r="E311" s="9" t="s">
        <v>70</v>
      </c>
      <c r="M311" s="9" t="s">
        <v>263</v>
      </c>
      <c r="N311" s="9">
        <f>ROUND((G309-H309)/C309,2)</f>
        <v>0.74</v>
      </c>
      <c r="O311" s="9" t="s">
        <v>71</v>
      </c>
    </row>
    <row r="312" spans="2:15" ht="18" customHeight="1">
      <c r="B312" s="9" t="s">
        <v>244</v>
      </c>
      <c r="C312" s="11" t="s">
        <v>243</v>
      </c>
      <c r="D312" s="9" t="str">
        <f>"=  "&amp;G309&amp;"-"&amp;H309&amp;"=  "&amp;N309&amp;O309</f>
        <v>=  175.86-69.01=  106.85kNm/m</v>
      </c>
      <c r="M312" s="9" t="s">
        <v>248</v>
      </c>
      <c r="N312" s="11">
        <f>ROUND(N298/2-N309/D310,2)</f>
        <v>0.31</v>
      </c>
      <c r="O312" s="9" t="s">
        <v>71</v>
      </c>
    </row>
    <row r="313" spans="2:4" ht="18" customHeight="1">
      <c r="B313" s="9" t="s">
        <v>268</v>
      </c>
      <c r="C313" s="11"/>
      <c r="D313" s="11"/>
    </row>
    <row r="314" spans="3:4" ht="18" customHeight="1">
      <c r="C314" s="13" t="str">
        <f>"d=ΣM/ΣV="&amp;N309&amp;"/"&amp;D310&amp;"="&amp;N311&amp;O311</f>
        <v>d=ΣM/ΣV=106.85/145.19=0.74m</v>
      </c>
      <c r="D314" s="11"/>
    </row>
    <row r="315" spans="2:14" ht="18" customHeight="1">
      <c r="B315" s="9" t="s">
        <v>247</v>
      </c>
      <c r="C315" s="9" t="str">
        <f>"e=B/2-ΣM/ΣV="&amp;N298&amp;"/2-"&amp;N309&amp;"/"&amp;D310&amp;"="&amp;N312&amp;O312</f>
        <v>e=B/2-ΣM/ΣV=2.1/2-106.85/145.19=0.31m</v>
      </c>
      <c r="M315" s="9" t="s">
        <v>434</v>
      </c>
      <c r="N315" s="9">
        <f>'入力画面'!E36</f>
        <v>6</v>
      </c>
    </row>
    <row r="316" spans="13:18" ht="18" customHeight="1">
      <c r="M316" s="9" t="s">
        <v>251</v>
      </c>
      <c r="N316" s="9">
        <f>ROUND(N298/N315,2)</f>
        <v>0.35</v>
      </c>
      <c r="O316" s="9" t="s">
        <v>71</v>
      </c>
      <c r="P316" s="9" t="str">
        <f>IF(N316&gt;N312,"  &gt;  ","  &lt;  ")</f>
        <v>  &gt;  </v>
      </c>
      <c r="Q316" s="9" t="str">
        <f>"e="&amp;N312&amp;O312</f>
        <v>e=0.31m</v>
      </c>
      <c r="R316" s="9" t="str">
        <f>IF(N316&gt;N312,"      ( OK )","      ( NG )")</f>
        <v>      ( OK )</v>
      </c>
    </row>
    <row r="317" spans="1:17" ht="18" customHeight="1">
      <c r="A317" s="9" t="s">
        <v>249</v>
      </c>
      <c r="M317" s="9" t="s">
        <v>253</v>
      </c>
      <c r="N317" s="9">
        <f>ROUND(G309/H309,1)</f>
        <v>2.5</v>
      </c>
      <c r="O317" s="9" t="str">
        <f>IF(N317&gt;P317,"  &gt;  ","  &lt;  ")</f>
        <v>  &gt;  </v>
      </c>
      <c r="P317" s="9">
        <f>'入力画面'!E35</f>
        <v>1.5</v>
      </c>
      <c r="Q317" s="9" t="str">
        <f>IF(N317&gt;P317,"      ( OK )","      ( NG )")</f>
        <v>      ( OK )</v>
      </c>
    </row>
    <row r="318" ht="18" customHeight="1">
      <c r="A318" s="9" t="s">
        <v>250</v>
      </c>
    </row>
    <row r="319" ht="18" customHeight="1">
      <c r="B319" s="9" t="str">
        <f>"許容偏心量  ea = B/"&amp;N315&amp;" ="&amp;N298&amp;"/"&amp;N315&amp;"="&amp;N316&amp;O316&amp;P316&amp;Q316&amp;R316</f>
        <v>許容偏心量  ea = B/6 =2.1/6=0.35m  &gt;  e=0.31m      ( OK )</v>
      </c>
    </row>
    <row r="320" spans="2:15" ht="18" customHeight="1">
      <c r="B320" s="9" t="s">
        <v>252</v>
      </c>
      <c r="C320" s="9" t="str">
        <f>"Fs=Σ(Vx)/Σ(Hy)="&amp;G309&amp;"/"&amp;H309&amp;"="&amp;N317&amp;O317&amp;P317&amp;Q317</f>
        <v>Fs=Σ(Vx)/Σ(Hy)=175.86/69.01=2.5  &gt;  1.5      ( OK )</v>
      </c>
      <c r="M320" s="9" t="s">
        <v>146</v>
      </c>
      <c r="N320" s="9">
        <f>'入力画面'!E21</f>
        <v>0.5</v>
      </c>
      <c r="O320" s="9" t="s">
        <v>71</v>
      </c>
    </row>
    <row r="321" spans="13:15" ht="18" customHeight="1">
      <c r="M321" s="9" t="s">
        <v>143</v>
      </c>
      <c r="N321" s="9">
        <f>'入力画面'!E22</f>
        <v>18</v>
      </c>
      <c r="O321" s="9" t="s">
        <v>212</v>
      </c>
    </row>
    <row r="322" spans="1:17" ht="18" customHeight="1">
      <c r="A322" s="9" t="s">
        <v>254</v>
      </c>
      <c r="M322" s="9" t="s">
        <v>144</v>
      </c>
      <c r="N322" s="9">
        <f>'入力画面'!E23</f>
        <v>30</v>
      </c>
      <c r="O322" s="9" t="s">
        <v>256</v>
      </c>
      <c r="P322" s="9">
        <f>N322*PI()/180</f>
        <v>0.5235987755982988</v>
      </c>
      <c r="Q322" s="9" t="s">
        <v>209</v>
      </c>
    </row>
    <row r="323" spans="1:15" ht="18" customHeight="1">
      <c r="A323" s="14"/>
      <c r="B323" s="14" t="str">
        <f>M320&amp;N320&amp;O320&amp;"  ,"&amp;M321&amp;N321&amp;O321&amp;" ,"&amp;M322&amp;N322&amp;O322&amp;"  ,"&amp;M323&amp;N323&amp;O323</f>
        <v>Df=0.5m  ,γ=18kN/m3 ,φ=30゜  ,c=10kN/m2</v>
      </c>
      <c r="C323" s="14"/>
      <c r="D323" s="14"/>
      <c r="E323" s="14"/>
      <c r="F323" s="14"/>
      <c r="G323" s="14"/>
      <c r="H323" s="14"/>
      <c r="I323" s="14"/>
      <c r="M323" s="9" t="s">
        <v>147</v>
      </c>
      <c r="N323" s="9">
        <f>'入力画面'!E24</f>
        <v>10</v>
      </c>
      <c r="O323" s="9" t="s">
        <v>213</v>
      </c>
    </row>
    <row r="324" spans="1:14" ht="18" customHeight="1">
      <c r="A324" s="14"/>
      <c r="B324" s="14" t="s">
        <v>452</v>
      </c>
      <c r="C324" s="14"/>
      <c r="D324" s="14"/>
      <c r="E324" s="14"/>
      <c r="F324" s="14"/>
      <c r="G324" s="14"/>
      <c r="H324" s="14"/>
      <c r="I324" s="14"/>
      <c r="M324" s="9" t="s">
        <v>258</v>
      </c>
      <c r="N324" s="9">
        <f>ROUND(TAN(PI()/4+P322/2)^2,2)</f>
        <v>3</v>
      </c>
    </row>
    <row r="325" spans="2:15" ht="18" customHeight="1">
      <c r="B325" s="41"/>
      <c r="M325" s="9" t="s">
        <v>259</v>
      </c>
      <c r="N325" s="9">
        <f>ROUND(0.5*N321*N320^2*N324+2*N323*N320*N324^0.5,2)</f>
        <v>24.07</v>
      </c>
      <c r="O325" s="9" t="s">
        <v>70</v>
      </c>
    </row>
    <row r="326" spans="2:4" ht="18" customHeight="1">
      <c r="B326" s="41"/>
      <c r="D326" s="9" t="str">
        <f>" =tan(45+"&amp;N322&amp;"/2)=  "&amp;N324</f>
        <v> =tan(45+30/2)=  3</v>
      </c>
    </row>
    <row r="328" ht="18" customHeight="1">
      <c r="B328" s="9" t="s">
        <v>257</v>
      </c>
    </row>
    <row r="331" spans="3:17" ht="18" customHeight="1">
      <c r="C331" s="9" t="str">
        <f>"=1/2×"&amp;N321&amp;"×"&amp;N320&amp;"^2×"&amp;N324&amp;"+2×"&amp;N323&amp;"×"&amp;N320&amp;"×√"&amp;N324&amp;"="&amp;N325&amp;O325</f>
        <v>=1/2×18×0.5^2×3+2×10×0.5×√3=24.07kN/m</v>
      </c>
      <c r="M331" s="9" t="s">
        <v>253</v>
      </c>
      <c r="N331" s="9">
        <f>ROUND((N333*D310+0.5*N325)/D311,2)</f>
        <v>2.04</v>
      </c>
      <c r="O331" s="9" t="str">
        <f>IF(N331&gt;P331,"  &gt;  ","  &lt;  ")</f>
        <v>  &gt;  </v>
      </c>
      <c r="P331" s="9">
        <f>'入力画面'!E37</f>
        <v>1.5</v>
      </c>
      <c r="Q331" s="9" t="str">
        <f>IF(N331&gt;P331,"      ( OK )","      ( NG )")</f>
        <v>      ( OK )</v>
      </c>
    </row>
    <row r="332" spans="2:3" ht="18" customHeight="1">
      <c r="B332" s="9" t="s">
        <v>255</v>
      </c>
      <c r="C332" s="9" t="str">
        <f>M333&amp;N333</f>
        <v>μ=0.6</v>
      </c>
    </row>
    <row r="333" spans="2:14" ht="18" customHeight="1">
      <c r="B333" s="9" t="s">
        <v>252</v>
      </c>
      <c r="C333" s="9" t="str">
        <f>"Fs=(μΣV+0.5PP)/ΣH"</f>
        <v>Fs=(μΣV+0.5PP)/ΣH</v>
      </c>
      <c r="M333" s="9" t="s">
        <v>149</v>
      </c>
      <c r="N333" s="9">
        <f>'入力画面'!E19</f>
        <v>0.6</v>
      </c>
    </row>
    <row r="334" ht="18" customHeight="1">
      <c r="C334" s="9" t="str">
        <f>"=("&amp;N333&amp;"×"&amp;D310&amp;"+0.5×"&amp;N325&amp;")/"&amp;D311</f>
        <v>=(0.6×145.19+0.5×24.07)/48.6</v>
      </c>
    </row>
    <row r="335" spans="3:13" ht="18" customHeight="1">
      <c r="C335" s="9" t="str">
        <f>"="&amp;N331&amp;O331&amp;P331&amp;Q331</f>
        <v>=2.04  &gt;  1.5      ( OK )</v>
      </c>
      <c r="M335" s="9" t="s">
        <v>261</v>
      </c>
    </row>
    <row r="336" ht="18" customHeight="1">
      <c r="M336" s="9" t="s">
        <v>262</v>
      </c>
    </row>
    <row r="337" spans="1:22" ht="18" customHeight="1">
      <c r="A337" s="9" t="s">
        <v>260</v>
      </c>
      <c r="M337" s="9" t="str">
        <f>IF(N312&lt;N316,T337,V337)</f>
        <v>q1=ΣV/B(1+6e/B)</v>
      </c>
      <c r="P337" s="9">
        <f>ROUND(IF(N312&lt;N316,D310/N298*(1+6*N312/N298),2*D310/3/N311),2)</f>
        <v>130.37</v>
      </c>
      <c r="Q337" s="9" t="s">
        <v>213</v>
      </c>
      <c r="T337" s="9" t="s">
        <v>264</v>
      </c>
      <c r="V337" s="9" t="s">
        <v>267</v>
      </c>
    </row>
    <row r="338" spans="2:22" ht="18" customHeight="1">
      <c r="B338" s="9" t="str">
        <f>IF(N312&lt;N316,M335,M336)</f>
        <v>荷重の合力が底面の核内にあるので地盤反力は台形分布する。</v>
      </c>
      <c r="M338" s="9" t="str">
        <f>IF(N312&lt;N316,T338,V338)</f>
        <v>q2=ΣV/B(1-6e/B)</v>
      </c>
      <c r="P338" s="9">
        <f>ROUND(IF(N312&lt;N316,D310/N298*(1-6*N312/N298),0),2)</f>
        <v>7.9</v>
      </c>
      <c r="Q338" s="9" t="s">
        <v>213</v>
      </c>
      <c r="T338" s="9" t="s">
        <v>265</v>
      </c>
      <c r="V338" s="9" t="s">
        <v>266</v>
      </c>
    </row>
    <row r="339" spans="2:20" ht="18" customHeight="1">
      <c r="B339" s="9" t="str">
        <f>M337&amp;" = "&amp;P337&amp;Q337</f>
        <v>q1=ΣV/B(1+6e/B) = 130.37kN/m2</v>
      </c>
      <c r="M339" s="10" t="s">
        <v>270</v>
      </c>
      <c r="N339" s="9">
        <f>MAX(P337,P338)</f>
        <v>130.37</v>
      </c>
      <c r="O339" s="9" t="s">
        <v>213</v>
      </c>
      <c r="P339" s="9" t="str">
        <f>IF(N339&gt;R339,"  &gt;  ","  &lt;  ")</f>
        <v>  &lt;  </v>
      </c>
      <c r="Q339" s="9" t="s">
        <v>145</v>
      </c>
      <c r="R339" s="9">
        <f>'入力画面'!E20</f>
        <v>300</v>
      </c>
      <c r="S339" s="9" t="s">
        <v>213</v>
      </c>
      <c r="T339" s="9" t="str">
        <f>IF(N339&gt;R339,"      ( NG )","      ( OK )")</f>
        <v>      ( OK )</v>
      </c>
    </row>
    <row r="340" ht="18" customHeight="1">
      <c r="B340" s="9" t="str">
        <f>M338&amp;" = "&amp;P338&amp;Q338</f>
        <v>q2=ΣV/B(1-6e/B) = 7.9kN/m2</v>
      </c>
    </row>
    <row r="341" ht="18" customHeight="1">
      <c r="B341" s="9" t="s">
        <v>269</v>
      </c>
    </row>
    <row r="342" ht="18" customHeight="1">
      <c r="B342" s="9" t="str">
        <f>M339&amp;N339&amp;O339&amp;P339&amp;Q339&amp;R339&amp;S339&amp;T339</f>
        <v>qmax=130.37kN/m2  &lt;  qa=300kN/m2      ( OK )</v>
      </c>
    </row>
    <row r="344" ht="18" customHeight="1">
      <c r="A344" s="9" t="s">
        <v>272</v>
      </c>
    </row>
    <row r="345" ht="18" customHeight="1">
      <c r="A345" s="9" t="s">
        <v>273</v>
      </c>
    </row>
    <row r="346" ht="18" customHeight="1">
      <c r="A346" s="9" t="s">
        <v>389</v>
      </c>
    </row>
    <row r="347" ht="18" customHeight="1">
      <c r="B347" s="9" t="s">
        <v>390</v>
      </c>
    </row>
    <row r="367" ht="18" customHeight="1">
      <c r="B367" s="9" t="str">
        <f>"主働すべり角　ω= "&amp;C394&amp;" ゜"</f>
        <v>主働すべり角　ω= 50 ゜</v>
      </c>
    </row>
    <row r="368" ht="18" customHeight="1">
      <c r="B368" s="9" t="s">
        <v>392</v>
      </c>
    </row>
    <row r="369" spans="3:7" ht="18" customHeight="1">
      <c r="C369" s="20" t="s">
        <v>399</v>
      </c>
      <c r="D369" s="21" t="s">
        <v>161</v>
      </c>
      <c r="E369" s="21" t="s">
        <v>163</v>
      </c>
      <c r="F369" s="22" t="s">
        <v>164</v>
      </c>
      <c r="G369" s="42"/>
    </row>
    <row r="370" spans="3:7" ht="18" customHeight="1">
      <c r="C370" s="23" t="s">
        <v>393</v>
      </c>
      <c r="D370" s="24">
        <f>C189</f>
        <v>0.22</v>
      </c>
      <c r="E370" s="24">
        <f>D189</f>
        <v>0.42000000000000004</v>
      </c>
      <c r="F370" s="18">
        <f aca="true" t="shared" si="9" ref="F370:F375">1/2*(D371*E370-D370*E371)</f>
        <v>-0.23199999999999998</v>
      </c>
      <c r="G370" s="42"/>
    </row>
    <row r="371" spans="3:7" ht="18" customHeight="1">
      <c r="C371" s="23" t="s">
        <v>394</v>
      </c>
      <c r="D371" s="24">
        <f>C190</f>
        <v>0.1</v>
      </c>
      <c r="E371" s="24">
        <f>D190</f>
        <v>2.3</v>
      </c>
      <c r="F371" s="18">
        <f t="shared" si="9"/>
        <v>-0.010000000000000009</v>
      </c>
      <c r="G371" s="42"/>
    </row>
    <row r="372" spans="3:7" ht="18" customHeight="1">
      <c r="C372" s="23" t="s">
        <v>395</v>
      </c>
      <c r="D372" s="24">
        <f aca="true" t="shared" si="10" ref="D372:E374">C182</f>
        <v>0.1</v>
      </c>
      <c r="E372" s="24">
        <f t="shared" si="10"/>
        <v>2.5</v>
      </c>
      <c r="F372" s="18">
        <f t="shared" si="9"/>
        <v>0</v>
      </c>
      <c r="G372" s="42"/>
    </row>
    <row r="373" spans="3:7" ht="18" customHeight="1">
      <c r="C373" s="23" t="s">
        <v>396</v>
      </c>
      <c r="D373" s="24">
        <f t="shared" si="10"/>
        <v>0.1</v>
      </c>
      <c r="E373" s="24">
        <f t="shared" si="10"/>
        <v>2.5</v>
      </c>
      <c r="F373" s="18">
        <f t="shared" si="9"/>
        <v>1.825</v>
      </c>
      <c r="G373" s="42"/>
    </row>
    <row r="374" spans="3:7" ht="18" customHeight="1">
      <c r="C374" s="23" t="s">
        <v>397</v>
      </c>
      <c r="D374" s="24">
        <f t="shared" si="10"/>
        <v>1.6</v>
      </c>
      <c r="E374" s="24">
        <f t="shared" si="10"/>
        <v>3.5</v>
      </c>
      <c r="F374" s="18">
        <f t="shared" si="9"/>
        <v>2.1069999999999998</v>
      </c>
      <c r="G374" s="42"/>
    </row>
    <row r="375" spans="3:7" ht="18" customHeight="1">
      <c r="C375" s="23" t="s">
        <v>398</v>
      </c>
      <c r="D375" s="24">
        <f>ROUND('壁面土圧'!E77,3)</f>
        <v>2.804</v>
      </c>
      <c r="E375" s="24">
        <f>E374</f>
        <v>3.5</v>
      </c>
      <c r="F375" s="18">
        <f t="shared" si="9"/>
        <v>-0.20384000000000002</v>
      </c>
      <c r="G375" s="42"/>
    </row>
    <row r="376" spans="3:6" ht="18" customHeight="1">
      <c r="C376" s="23" t="s">
        <v>393</v>
      </c>
      <c r="D376" s="24">
        <f>D370</f>
        <v>0.22</v>
      </c>
      <c r="E376" s="24">
        <f>E370</f>
        <v>0.42000000000000004</v>
      </c>
      <c r="F376" s="32">
        <v>0</v>
      </c>
    </row>
    <row r="377" spans="3:6" ht="18" customHeight="1">
      <c r="C377" s="20" t="s">
        <v>400</v>
      </c>
      <c r="D377" s="21" t="s">
        <v>170</v>
      </c>
      <c r="E377" s="21" t="s">
        <v>170</v>
      </c>
      <c r="F377" s="28">
        <f>ROUND(SUM(F370:F376),3)</f>
        <v>3.486</v>
      </c>
    </row>
    <row r="378" spans="3:6" ht="18" customHeight="1">
      <c r="C378" s="11"/>
      <c r="D378" s="11"/>
      <c r="E378" s="11"/>
      <c r="F378" s="19"/>
    </row>
    <row r="379" spans="2:17" ht="18" customHeight="1">
      <c r="B379" s="9" t="s">
        <v>401</v>
      </c>
      <c r="C379" s="11"/>
      <c r="D379" s="11"/>
      <c r="E379" s="11"/>
      <c r="F379" s="19"/>
      <c r="M379" s="9" t="s">
        <v>402</v>
      </c>
      <c r="N379" s="9">
        <f>ROUND('壁面土圧'!J27,2)</f>
        <v>3.65</v>
      </c>
      <c r="O379" s="9" t="s">
        <v>256</v>
      </c>
      <c r="P379" s="9">
        <f>N379*PI()/180</f>
        <v>0.06370451769779302</v>
      </c>
      <c r="Q379" s="9" t="s">
        <v>378</v>
      </c>
    </row>
    <row r="380" spans="3:17" ht="18" customHeight="1">
      <c r="C380" s="9" t="str">
        <f>"W=A・γ+q・b="&amp;F377&amp;"×"&amp;D48&amp;"+"&amp;E65&amp;"×"&amp;D394&amp;"="&amp;E394&amp;" (kN/m)"</f>
        <v>W=A・γ+q・b=3.486×19+10×1.2=78.29 (kN/m)</v>
      </c>
      <c r="M380" s="9" t="s">
        <v>155</v>
      </c>
      <c r="N380" s="9">
        <f>'入力画面'!E32</f>
        <v>20</v>
      </c>
      <c r="O380" s="9" t="s">
        <v>256</v>
      </c>
      <c r="P380" s="9">
        <f>N380*PI()/180</f>
        <v>0.3490658503988659</v>
      </c>
      <c r="Q380" s="9" t="s">
        <v>378</v>
      </c>
    </row>
    <row r="381" ht="18" customHeight="1">
      <c r="B381" s="9" t="s">
        <v>391</v>
      </c>
    </row>
    <row r="382" spans="5:8" ht="18" customHeight="1">
      <c r="E382" s="132" t="str">
        <f>D370&amp;"-"&amp;D371</f>
        <v>0.22-0.1</v>
      </c>
      <c r="F382" s="132"/>
      <c r="G382" s="131" t="str">
        <f>"="&amp;N379&amp;O379</f>
        <v>=3.65゜</v>
      </c>
      <c r="H382" s="131"/>
    </row>
    <row r="383" spans="5:8" ht="18" customHeight="1">
      <c r="E383" s="134" t="str">
        <f>E371&amp;"-"&amp;E370</f>
        <v>2.3-0.42</v>
      </c>
      <c r="F383" s="134"/>
      <c r="G383" s="131"/>
      <c r="H383" s="131"/>
    </row>
    <row r="384" ht="18" customHeight="1">
      <c r="B384" s="9" t="str">
        <f>"壁面摩擦角 δ= "&amp;'壁面土圧'!J26&amp;" ゜"</f>
        <v>壁面摩擦角 δ= 20 ゜</v>
      </c>
    </row>
    <row r="385" ht="18" customHeight="1">
      <c r="B385" s="9" t="s">
        <v>238</v>
      </c>
    </row>
    <row r="386" spans="5:9" ht="18" customHeight="1">
      <c r="E386" s="132" t="str">
        <f>"sin("&amp;C394&amp;"-"&amp;N254&amp;")"</f>
        <v>sin(50-30)</v>
      </c>
      <c r="F386" s="132"/>
      <c r="G386" s="131" t="str">
        <f>"×"&amp;E394&amp;"="&amp;F394&amp;"kN/m"</f>
        <v>×78.29=26.83kN/m</v>
      </c>
      <c r="H386" s="131"/>
      <c r="I386" s="131"/>
    </row>
    <row r="387" spans="5:9" ht="18" customHeight="1">
      <c r="E387" s="129" t="str">
        <f>"cos("&amp;C394&amp;"-"&amp;N254&amp;"-"&amp;N379&amp;"-"&amp;N380&amp;")"</f>
        <v>cos(50-30-3.65-20)</v>
      </c>
      <c r="F387" s="129"/>
      <c r="G387" s="131"/>
      <c r="H387" s="131"/>
      <c r="I387" s="131"/>
    </row>
    <row r="388" ht="18" customHeight="1">
      <c r="B388" s="9" t="s">
        <v>403</v>
      </c>
    </row>
    <row r="389" spans="3:7" ht="18" customHeight="1">
      <c r="C389" s="20" t="s">
        <v>384</v>
      </c>
      <c r="D389" s="21" t="s">
        <v>385</v>
      </c>
      <c r="E389" s="21" t="s">
        <v>386</v>
      </c>
      <c r="F389" s="22" t="s">
        <v>387</v>
      </c>
      <c r="G389" s="11"/>
    </row>
    <row r="390" spans="3:7" ht="18" customHeight="1">
      <c r="C390" s="23">
        <f>'壁面土圧'!C86</f>
        <v>46</v>
      </c>
      <c r="D390" s="24">
        <f>ROUND('壁面土圧'!F86,2)</f>
        <v>1.59</v>
      </c>
      <c r="E390" s="24">
        <f>ROUND('壁面土圧'!I86,2)</f>
        <v>93.6</v>
      </c>
      <c r="F390" s="32">
        <f>ROUND('壁面土圧'!J86,2)</f>
        <v>26.03</v>
      </c>
      <c r="G390" s="11"/>
    </row>
    <row r="391" spans="3:7" ht="18" customHeight="1">
      <c r="C391" s="23">
        <f>'壁面土圧'!C87</f>
        <v>47</v>
      </c>
      <c r="D391" s="24">
        <f>ROUND('壁面土圧'!F87,2)</f>
        <v>1.49</v>
      </c>
      <c r="E391" s="24">
        <f>ROUND('壁面土圧'!I87,2)</f>
        <v>89.59</v>
      </c>
      <c r="F391" s="32">
        <f>ROUND('壁面土圧'!J87,2)</f>
        <v>26.37</v>
      </c>
      <c r="G391" s="11"/>
    </row>
    <row r="392" spans="3:7" ht="18" customHeight="1">
      <c r="C392" s="23">
        <f>'壁面土圧'!C88</f>
        <v>48</v>
      </c>
      <c r="D392" s="24">
        <f>ROUND('壁面土圧'!F88,2)</f>
        <v>1.39</v>
      </c>
      <c r="E392" s="24">
        <f>ROUND('壁面土圧'!I88,2)</f>
        <v>85.71</v>
      </c>
      <c r="F392" s="32">
        <f>ROUND('壁面土圧'!J88,2)</f>
        <v>26.61</v>
      </c>
      <c r="G392" s="11"/>
    </row>
    <row r="393" spans="3:7" ht="18" customHeight="1">
      <c r="C393" s="23">
        <f>'壁面土圧'!C89</f>
        <v>49</v>
      </c>
      <c r="D393" s="24">
        <f>ROUND('壁面土圧'!F89,2)</f>
        <v>1.3</v>
      </c>
      <c r="E393" s="24">
        <f>ROUND('壁面土圧'!I89,2)</f>
        <v>81.94</v>
      </c>
      <c r="F393" s="32">
        <f>ROUND('壁面土圧'!J89,2)</f>
        <v>26.77</v>
      </c>
      <c r="G393" s="11"/>
    </row>
    <row r="394" spans="3:7" ht="18" customHeight="1">
      <c r="C394" s="23">
        <f>'壁面土圧'!C90</f>
        <v>50</v>
      </c>
      <c r="D394" s="24">
        <f>ROUND('壁面土圧'!F90,2)</f>
        <v>1.2</v>
      </c>
      <c r="E394" s="24">
        <f>ROUND('壁面土圧'!I90,2)</f>
        <v>78.29</v>
      </c>
      <c r="F394" s="32">
        <f>ROUND('壁面土圧'!J90,2)</f>
        <v>26.83</v>
      </c>
      <c r="G394" s="11" t="s">
        <v>388</v>
      </c>
    </row>
    <row r="395" spans="3:7" ht="18" customHeight="1">
      <c r="C395" s="23">
        <f>'壁面土圧'!C91</f>
        <v>51</v>
      </c>
      <c r="D395" s="24">
        <f>ROUND('壁面土圧'!F91,2)</f>
        <v>1.11</v>
      </c>
      <c r="E395" s="24">
        <f>ROUND('壁面土圧'!I91,2)</f>
        <v>74.75</v>
      </c>
      <c r="F395" s="32">
        <f>ROUND('壁面土圧'!J91,2)</f>
        <v>26.82</v>
      </c>
      <c r="G395" s="11"/>
    </row>
    <row r="396" spans="3:7" ht="18" customHeight="1">
      <c r="C396" s="23">
        <f>'壁面土圧'!C92</f>
        <v>52</v>
      </c>
      <c r="D396" s="24">
        <f>ROUND('壁面土圧'!F92,2)</f>
        <v>1.03</v>
      </c>
      <c r="E396" s="24">
        <f>ROUND('壁面土圧'!I92,2)</f>
        <v>71.3</v>
      </c>
      <c r="F396" s="32">
        <f>ROUND('壁面土圧'!J92,2)</f>
        <v>26.72</v>
      </c>
      <c r="G396" s="11"/>
    </row>
    <row r="397" spans="3:7" ht="18" customHeight="1">
      <c r="C397" s="23">
        <f>'壁面土圧'!C93</f>
        <v>53</v>
      </c>
      <c r="D397" s="24">
        <f>ROUND('壁面土圧'!F93,2)</f>
        <v>0.94</v>
      </c>
      <c r="E397" s="24">
        <f>ROUND('壁面土圧'!I93,2)</f>
        <v>67.95</v>
      </c>
      <c r="F397" s="32">
        <f>ROUND('壁面土圧'!J93,2)</f>
        <v>26.55</v>
      </c>
      <c r="G397" s="11"/>
    </row>
    <row r="398" spans="3:7" ht="18" customHeight="1">
      <c r="C398" s="51">
        <f>'壁面土圧'!C94</f>
        <v>54</v>
      </c>
      <c r="D398" s="33">
        <f>ROUND('壁面土圧'!F94,2)</f>
        <v>0.86</v>
      </c>
      <c r="E398" s="33">
        <f>ROUND('壁面土圧'!I94,2)</f>
        <v>64.68</v>
      </c>
      <c r="F398" s="34">
        <f>ROUND('壁面土圧'!J94,2)</f>
        <v>26.31</v>
      </c>
      <c r="G398" s="11"/>
    </row>
    <row r="410" spans="15:17" ht="18" customHeight="1">
      <c r="O410" s="9" t="s">
        <v>419</v>
      </c>
      <c r="P410" s="9">
        <f>ROUND(F394*COS(P379+P380),2)</f>
        <v>24.58</v>
      </c>
      <c r="Q410" s="9" t="s">
        <v>276</v>
      </c>
    </row>
    <row r="412" ht="18" customHeight="1">
      <c r="B412" s="9" t="s">
        <v>418</v>
      </c>
    </row>
    <row r="413" spans="3:17" ht="18" customHeight="1">
      <c r="C413" s="9" t="str">
        <f>"PAH=PAcos( α＋δ)="&amp;F394&amp;"×cos("&amp;N379&amp;"+"&amp;N380&amp;")="&amp;P410&amp;Q410</f>
        <v>PAH=PAcos( α＋δ)=26.83×cos(3.65+20)=24.58kN/m</v>
      </c>
      <c r="O413" s="9" t="s">
        <v>405</v>
      </c>
      <c r="P413" s="9">
        <f>E372-E370</f>
        <v>2.08</v>
      </c>
      <c r="Q413" s="9" t="s">
        <v>37</v>
      </c>
    </row>
    <row r="414" spans="15:17" ht="18" customHeight="1">
      <c r="O414" s="9" t="s">
        <v>406</v>
      </c>
      <c r="P414" s="9">
        <f>ROUND((D370+P413/TAN(C394*PI()/180))-D372,2)</f>
        <v>1.87</v>
      </c>
      <c r="Q414" s="9" t="s">
        <v>37</v>
      </c>
    </row>
    <row r="415" spans="2:17" ht="18" customHeight="1">
      <c r="B415" s="9" t="s">
        <v>404</v>
      </c>
      <c r="O415" s="9" t="s">
        <v>407</v>
      </c>
      <c r="P415" s="9">
        <f>ROUND(E394/(N286*P414)-P413/2,2)</f>
        <v>1.16</v>
      </c>
      <c r="Q415" s="9" t="s">
        <v>37</v>
      </c>
    </row>
    <row r="416" ht="18" customHeight="1">
      <c r="C416" s="9" t="str">
        <f>"Hd="&amp;E372&amp;"-"&amp;E370&amp;"="&amp;P413&amp;Q413</f>
        <v>Hd=2.5-0.42=2.08m</v>
      </c>
    </row>
    <row r="417" spans="3:16" ht="18" customHeight="1">
      <c r="C417" s="9" t="str">
        <f>"λ=(xa+Hd/tanω)-xc=("&amp;D370&amp;"+"&amp;P413&amp;"/tan"&amp;C394&amp;")-"&amp;D372&amp;"="&amp;P414&amp;Q414</f>
        <v>λ=(xa+Hd/tanω)-xc=(0.22+2.08/tan50)-0.1=1.87m</v>
      </c>
      <c r="O417" s="9" t="s">
        <v>225</v>
      </c>
      <c r="P417" s="9">
        <f>データ!B12</f>
        <v>2</v>
      </c>
    </row>
    <row r="418" spans="3:15" ht="18" customHeight="1">
      <c r="C418" s="9" t="str">
        <f>"hs=W/(γλ)-Hd/2="&amp;E394&amp;"/("&amp;N286&amp;"×"&amp;P414&amp;")-"&amp;P413&amp;"/2="&amp;P415&amp;Q415</f>
        <v>hs=W/(γλ)-Hd/2=78.29/(19×1.87)-2.08/2=1.16m</v>
      </c>
      <c r="O418" s="9" t="s">
        <v>408</v>
      </c>
    </row>
    <row r="419" ht="18" customHeight="1">
      <c r="O419" s="9" t="s">
        <v>224</v>
      </c>
    </row>
    <row r="420" ht="18" customHeight="1">
      <c r="B420" s="9" t="s">
        <v>417</v>
      </c>
    </row>
    <row r="421" spans="3:19" ht="18" customHeight="1">
      <c r="C421" s="9" t="str">
        <f>IF(P417=1,O418,O419)</f>
        <v>積載荷重があっても土圧分布は道路土工指針に準拠して三角形とする。</v>
      </c>
      <c r="O421" s="9" t="s">
        <v>410</v>
      </c>
      <c r="R421" s="9">
        <f>ROUND(P413/3*(3*P415+P413)/(2*P415+P413),2)</f>
        <v>0.88</v>
      </c>
      <c r="S421" s="9" t="s">
        <v>37</v>
      </c>
    </row>
    <row r="422" spans="3:15" ht="18" customHeight="1">
      <c r="C422" s="9" t="str">
        <f>IF(P417=1,O421&amp;O422,O423)</f>
        <v>yA=Hd/3=2.08/3=0.69m</v>
      </c>
      <c r="O422" s="9" t="str">
        <f>"="&amp;P413&amp;"/3×(3×"&amp;P415&amp;"+"&amp;P413&amp;")/(2×"&amp;P415&amp;"+"&amp;P413&amp;")="&amp;R421&amp;S421</f>
        <v>=2.08/3×(3×1.16+2.08)/(2×1.16+2.08)=0.88m</v>
      </c>
    </row>
    <row r="423" spans="15:20" ht="18" customHeight="1">
      <c r="O423" s="9" t="str">
        <f>"yA=Hd/3="&amp;P413&amp;"/3="&amp;S423&amp;T423</f>
        <v>yA=Hd/3=2.08/3=0.69m</v>
      </c>
      <c r="S423" s="9">
        <f>ROUND(P413/3,2)</f>
        <v>0.69</v>
      </c>
      <c r="T423" s="9" t="s">
        <v>37</v>
      </c>
    </row>
    <row r="424" spans="15:17" ht="18" customHeight="1">
      <c r="O424" s="9" t="s">
        <v>409</v>
      </c>
      <c r="P424" s="9">
        <f>IF(P417=1,R421,S423)</f>
        <v>0.69</v>
      </c>
      <c r="Q424" s="9" t="s">
        <v>37</v>
      </c>
    </row>
    <row r="441" spans="6:8" ht="18" customHeight="1">
      <c r="F441" s="9">
        <f>IF(P417=1,"(採用)","")</f>
      </c>
      <c r="H441" s="9" t="str">
        <f>IF(P417=2,"(採用)","")</f>
        <v>(採用)</v>
      </c>
    </row>
    <row r="445" ht="18" customHeight="1">
      <c r="A445" s="9" t="s">
        <v>411</v>
      </c>
    </row>
    <row r="446" spans="2:5" ht="18" customHeight="1">
      <c r="B446" s="65"/>
      <c r="C446" s="21" t="s">
        <v>414</v>
      </c>
      <c r="D446" s="21" t="s">
        <v>415</v>
      </c>
      <c r="E446" s="22" t="s">
        <v>416</v>
      </c>
    </row>
    <row r="447" spans="2:5" ht="18" customHeight="1">
      <c r="B447" s="23" t="s">
        <v>412</v>
      </c>
      <c r="C447" s="24">
        <f>P410</f>
        <v>24.58</v>
      </c>
      <c r="D447" s="24">
        <f>P424</f>
        <v>0.69</v>
      </c>
      <c r="E447" s="32">
        <f>ROUND(C447*D447,2)</f>
        <v>16.96</v>
      </c>
    </row>
    <row r="448" spans="2:5" ht="18" customHeight="1">
      <c r="B448" s="23" t="s">
        <v>413</v>
      </c>
      <c r="C448" s="24">
        <f>E69</f>
        <v>5</v>
      </c>
      <c r="D448" s="24">
        <f>E68+P413</f>
        <v>3.18</v>
      </c>
      <c r="E448" s="32">
        <f>ROUND(C448*D448,2)</f>
        <v>15.9</v>
      </c>
    </row>
    <row r="449" spans="2:5" ht="18" customHeight="1">
      <c r="B449" s="20" t="s">
        <v>420</v>
      </c>
      <c r="C449" s="21">
        <f>SUM(C447:C448)</f>
        <v>29.58</v>
      </c>
      <c r="D449" s="21" t="s">
        <v>170</v>
      </c>
      <c r="E449" s="22">
        <f>SUM(E447:E448)</f>
        <v>32.86</v>
      </c>
    </row>
    <row r="450" spans="3:6" ht="18" customHeight="1">
      <c r="C450" s="10" t="s">
        <v>306</v>
      </c>
      <c r="D450" s="11" t="s">
        <v>318</v>
      </c>
      <c r="E450" s="11">
        <f>C449</f>
        <v>29.58</v>
      </c>
      <c r="F450" s="9" t="s">
        <v>320</v>
      </c>
    </row>
    <row r="451" spans="3:6" ht="18" customHeight="1">
      <c r="C451" s="10" t="s">
        <v>307</v>
      </c>
      <c r="D451" s="11" t="s">
        <v>319</v>
      </c>
      <c r="E451" s="11">
        <f>E449</f>
        <v>32.86</v>
      </c>
      <c r="F451" s="9" t="s">
        <v>321</v>
      </c>
    </row>
    <row r="452" spans="16:19" ht="18" customHeight="1">
      <c r="P452" s="43"/>
      <c r="Q452" s="43"/>
      <c r="R452" s="43"/>
      <c r="S452" s="45"/>
    </row>
    <row r="453" spans="1:19" ht="18" customHeight="1">
      <c r="A453" s="9" t="s">
        <v>322</v>
      </c>
      <c r="P453" s="43"/>
      <c r="Q453" s="42"/>
      <c r="R453" s="42"/>
      <c r="S453" s="42"/>
    </row>
    <row r="454" spans="2:16" ht="18" customHeight="1">
      <c r="B454" s="9" t="s">
        <v>323</v>
      </c>
      <c r="C454" s="11" t="s">
        <v>324</v>
      </c>
      <c r="D454" s="11">
        <f>H33*1000</f>
        <v>220</v>
      </c>
      <c r="E454" s="9" t="s">
        <v>22</v>
      </c>
      <c r="P454" s="43"/>
    </row>
    <row r="455" spans="2:16" ht="18" customHeight="1">
      <c r="B455" s="9" t="s">
        <v>325</v>
      </c>
      <c r="C455" s="11" t="s">
        <v>286</v>
      </c>
      <c r="D455" s="11">
        <v>1000</v>
      </c>
      <c r="E455" s="9" t="s">
        <v>22</v>
      </c>
      <c r="P455" s="43"/>
    </row>
    <row r="456" spans="2:16" ht="18" customHeight="1">
      <c r="B456" s="12" t="s">
        <v>334</v>
      </c>
      <c r="C456" s="11" t="s">
        <v>333</v>
      </c>
      <c r="D456" s="11">
        <f>F78</f>
        <v>30</v>
      </c>
      <c r="E456" s="9" t="s">
        <v>22</v>
      </c>
      <c r="P456" s="43"/>
    </row>
    <row r="457" spans="2:5" ht="18" customHeight="1">
      <c r="B457" s="9" t="s">
        <v>326</v>
      </c>
      <c r="C457" s="11" t="s">
        <v>327</v>
      </c>
      <c r="D457" s="11">
        <f>D454-D456</f>
        <v>190</v>
      </c>
      <c r="E457" s="9" t="s">
        <v>22</v>
      </c>
    </row>
    <row r="458" spans="2:16" ht="18" customHeight="1">
      <c r="B458" s="9" t="s">
        <v>335</v>
      </c>
      <c r="C458" s="11"/>
      <c r="D458" s="11" t="str">
        <f>D78</f>
        <v>D16</v>
      </c>
      <c r="N458" s="9" t="s">
        <v>337</v>
      </c>
      <c r="O458" s="9">
        <f>ROUND(D455/D460*D459,2)</f>
        <v>1588.8</v>
      </c>
      <c r="P458" s="9" t="s">
        <v>336</v>
      </c>
    </row>
    <row r="459" spans="2:15" ht="18" customHeight="1">
      <c r="B459" s="12" t="s">
        <v>328</v>
      </c>
      <c r="C459" s="11" t="s">
        <v>329</v>
      </c>
      <c r="D459" s="11">
        <f>データ!D32</f>
        <v>198.6</v>
      </c>
      <c r="E459" s="9" t="s">
        <v>336</v>
      </c>
      <c r="N459" s="9" t="s">
        <v>341</v>
      </c>
      <c r="O459" s="9">
        <f>ROUND(15*O458/(D455*D457),4)</f>
        <v>0.1254</v>
      </c>
    </row>
    <row r="460" spans="2:5" ht="18" customHeight="1">
      <c r="B460" s="9" t="s">
        <v>330</v>
      </c>
      <c r="C460" s="11" t="s">
        <v>331</v>
      </c>
      <c r="D460" s="11">
        <f>E78</f>
        <v>125</v>
      </c>
      <c r="E460" s="9" t="s">
        <v>22</v>
      </c>
    </row>
    <row r="461" spans="2:4" ht="18" customHeight="1">
      <c r="B461" s="9" t="s">
        <v>332</v>
      </c>
      <c r="C461" s="13" t="str">
        <f>"As=Aso×bs/s="&amp;D459&amp;"×"&amp;D455&amp;"/"&amp;D460&amp;"="&amp;O458&amp;P458</f>
        <v>As=Aso×bs/s=198.6×1000/125=1588.8mm2</v>
      </c>
      <c r="D461" s="11"/>
    </row>
    <row r="462" spans="2:17" ht="18" customHeight="1">
      <c r="B462" s="9" t="s">
        <v>338</v>
      </c>
      <c r="D462" s="9" t="s">
        <v>339</v>
      </c>
      <c r="N462" s="9" t="s">
        <v>343</v>
      </c>
      <c r="O462" s="9">
        <f>ROUND((O459^2+2*O459)^0.5-O459,3)</f>
        <v>0.391</v>
      </c>
      <c r="P462" s="9" t="s">
        <v>344</v>
      </c>
      <c r="Q462" s="9">
        <f>ROUND(1-O462/3,3)</f>
        <v>0.87</v>
      </c>
    </row>
    <row r="463" spans="2:3" ht="18" customHeight="1">
      <c r="B463" s="9" t="s">
        <v>340</v>
      </c>
      <c r="C463" s="9" t="str">
        <f>"np=n・As/(b・d)=15×"&amp;O458&amp;"/("&amp;D455&amp;"×"&amp;D457&amp;")="&amp;O459</f>
        <v>np=n・As/(b・d)=15×1588.8/(1000×190)=0.1254</v>
      </c>
    </row>
    <row r="465" spans="2:5" ht="18" customHeight="1">
      <c r="B465" s="9" t="s">
        <v>342</v>
      </c>
      <c r="E465" s="9" t="str">
        <f>"   ("&amp;O459&amp;"^2+2*"&amp;O459&amp;")-"&amp;O459&amp;"="&amp;O462</f>
        <v>   (0.1254^2+2*0.1254)-0.1254=0.391</v>
      </c>
    </row>
    <row r="466" spans="3:21" ht="18" customHeight="1">
      <c r="C466" s="9" t="str">
        <f>"J=1-k/3=1-"&amp;O462&amp;"/3="&amp;Q462</f>
        <v>J=1-k/3=1-0.391/3=0.87</v>
      </c>
      <c r="N466" s="9" t="s">
        <v>346</v>
      </c>
      <c r="O466" s="9">
        <f>ROUND(2*E451*1000000/(O462*Q462*D455*D457^2),1)</f>
        <v>5.4</v>
      </c>
      <c r="P466" s="9" t="s">
        <v>27</v>
      </c>
      <c r="Q466" s="9" t="str">
        <f>IF(O466&lt;=S466,"  &lt;  ","  &gt;  ")</f>
        <v>  &lt;  </v>
      </c>
      <c r="R466" s="9" t="str">
        <f>"σca  =  "</f>
        <v>σca  =  </v>
      </c>
      <c r="S466" s="9">
        <f>N81</f>
        <v>8</v>
      </c>
      <c r="T466" s="9" t="str">
        <f>" N/mm2    "</f>
        <v> N/mm2    </v>
      </c>
      <c r="U466" s="9" t="str">
        <f>IF(O466&lt;=S466,"(OK)","(NG)")</f>
        <v>(OK)</v>
      </c>
    </row>
    <row r="468" ht="18" customHeight="1">
      <c r="B468" s="9" t="s">
        <v>345</v>
      </c>
    </row>
    <row r="469" spans="4:9" ht="18" customHeight="1">
      <c r="D469" s="132" t="str">
        <f>"2×"&amp;E451*1000000</f>
        <v>2×32860000</v>
      </c>
      <c r="E469" s="132"/>
      <c r="F469" s="132"/>
      <c r="G469" s="131" t="str">
        <f>"="&amp;O466&amp;P466</f>
        <v>=5.4N/mm2</v>
      </c>
      <c r="H469" s="131"/>
      <c r="I469" s="131"/>
    </row>
    <row r="470" spans="4:9" ht="18" customHeight="1">
      <c r="D470" s="134" t="str">
        <f>O462&amp;"×"&amp;Q462&amp;"×"&amp;D455&amp;"×"&amp;D457&amp;"^2"</f>
        <v>0.391×0.87×1000×190^2</v>
      </c>
      <c r="E470" s="134"/>
      <c r="F470" s="134"/>
      <c r="G470" s="131"/>
      <c r="H470" s="131"/>
      <c r="I470" s="131"/>
    </row>
    <row r="471" spans="7:21" ht="18" customHeight="1">
      <c r="G471" s="9" t="str">
        <f>Q466&amp;R466&amp;S466&amp;T466&amp;U466</f>
        <v>  &lt;  σca  =  8 N/mm2    (OK)</v>
      </c>
      <c r="N471" s="9" t="s">
        <v>348</v>
      </c>
      <c r="O471" s="9">
        <f>ROUND(E451*1000000/(O458*Q462*D457),0)</f>
        <v>125</v>
      </c>
      <c r="P471" s="9" t="s">
        <v>27</v>
      </c>
      <c r="Q471" s="9" t="str">
        <f>IF(O471&lt;=S471,"  &lt;  ","  &gt;  ")</f>
        <v>  &lt;  </v>
      </c>
      <c r="R471" s="9" t="str">
        <f>"σsa  =  "</f>
        <v>σsa  =  </v>
      </c>
      <c r="S471" s="9">
        <f>N83</f>
        <v>180</v>
      </c>
      <c r="T471" s="9" t="str">
        <f>" N/mm2    "</f>
        <v> N/mm2    </v>
      </c>
      <c r="U471" s="9" t="str">
        <f>IF(O471&lt;=S471,"(OK)","(NG)")</f>
        <v>(OK)</v>
      </c>
    </row>
    <row r="473" ht="18" customHeight="1">
      <c r="B473" s="9" t="s">
        <v>347</v>
      </c>
    </row>
    <row r="474" spans="4:8" ht="18" customHeight="1">
      <c r="D474" s="132">
        <f>E451*1000000</f>
        <v>32860000</v>
      </c>
      <c r="E474" s="132"/>
      <c r="F474" s="132"/>
      <c r="G474" s="131" t="str">
        <f>"="&amp;O471&amp;P471</f>
        <v>=125N/mm2</v>
      </c>
      <c r="H474" s="131"/>
    </row>
    <row r="475" spans="4:8" ht="18" customHeight="1">
      <c r="D475" s="134" t="str">
        <f>O458&amp;"×"&amp;Q462&amp;"×"&amp;D457</f>
        <v>1588.8×0.87×190</v>
      </c>
      <c r="E475" s="134"/>
      <c r="F475" s="134"/>
      <c r="G475" s="131"/>
      <c r="H475" s="131"/>
    </row>
    <row r="476" spans="7:21" ht="18" customHeight="1">
      <c r="G476" s="9" t="str">
        <f>Q471&amp;R471&amp;S471&amp;T471&amp;U471</f>
        <v>  &lt;  σsa  =  180 N/mm2    (OK)</v>
      </c>
      <c r="N476" s="9" t="s">
        <v>350</v>
      </c>
      <c r="O476" s="9">
        <f>ROUND(E450*1000/(D455*D457),2)</f>
        <v>0.16</v>
      </c>
      <c r="P476" s="9" t="s">
        <v>27</v>
      </c>
      <c r="Q476" s="9" t="str">
        <f>IF(O476&lt;=S476,"  &lt;  ","  &gt;  ")</f>
        <v>  &lt;  </v>
      </c>
      <c r="R476" s="9" t="str">
        <f>"τca  =  "</f>
        <v>τca  =  </v>
      </c>
      <c r="S476" s="9">
        <f>N82</f>
        <v>0.39</v>
      </c>
      <c r="T476" s="9" t="str">
        <f>" N/mm2    "</f>
        <v> N/mm2    </v>
      </c>
      <c r="U476" s="9" t="str">
        <f>IF(O476&lt;=S476,"(OK)","(NG)")</f>
        <v>(OK)</v>
      </c>
    </row>
    <row r="478" ht="18" customHeight="1">
      <c r="B478" s="9" t="s">
        <v>349</v>
      </c>
    </row>
    <row r="479" spans="4:8" ht="18" customHeight="1">
      <c r="D479" s="132">
        <f>E450*1000</f>
        <v>29580</v>
      </c>
      <c r="E479" s="132"/>
      <c r="F479" s="131" t="str">
        <f>"="&amp;O476&amp;P476</f>
        <v>=0.16N/mm2</v>
      </c>
      <c r="G479" s="131"/>
      <c r="H479" s="131"/>
    </row>
    <row r="480" spans="4:8" ht="18" customHeight="1">
      <c r="D480" s="134" t="str">
        <f>D455&amp;"×"&amp;D457</f>
        <v>1000×190</v>
      </c>
      <c r="E480" s="134"/>
      <c r="F480" s="131"/>
      <c r="G480" s="131"/>
      <c r="H480" s="131"/>
    </row>
    <row r="481" ht="18" customHeight="1">
      <c r="F481" s="9" t="str">
        <f>Q476&amp;R476&amp;S476&amp;T476&amp;U476</f>
        <v>  &lt;  τca  =  0.39 N/mm2    (OK)</v>
      </c>
    </row>
    <row r="483" ht="18" customHeight="1">
      <c r="A483" s="9" t="s">
        <v>274</v>
      </c>
    </row>
    <row r="484" ht="18" customHeight="1">
      <c r="A484" s="9" t="s">
        <v>299</v>
      </c>
    </row>
    <row r="494" spans="6:8" ht="18" customHeight="1">
      <c r="F494" s="11" t="s">
        <v>287</v>
      </c>
      <c r="G494" s="11">
        <f>C526-C525</f>
        <v>0.5</v>
      </c>
      <c r="H494" s="9" t="s">
        <v>291</v>
      </c>
    </row>
    <row r="495" spans="6:8" ht="18" customHeight="1">
      <c r="F495" s="11" t="s">
        <v>542</v>
      </c>
      <c r="G495" s="11">
        <f>Q537-G496</f>
        <v>0.41999999999999993</v>
      </c>
      <c r="H495" s="9" t="s">
        <v>291</v>
      </c>
    </row>
    <row r="496" spans="6:8" ht="18" customHeight="1">
      <c r="F496" s="11" t="s">
        <v>290</v>
      </c>
      <c r="G496" s="11">
        <f>C514-C511</f>
        <v>1.6800000000000002</v>
      </c>
      <c r="H496" s="9" t="s">
        <v>291</v>
      </c>
    </row>
    <row r="508" ht="18" customHeight="1">
      <c r="A508" s="9" t="s">
        <v>300</v>
      </c>
    </row>
    <row r="509" ht="18" customHeight="1">
      <c r="G509" s="42"/>
    </row>
    <row r="510" spans="2:7" ht="18" customHeight="1">
      <c r="B510" s="20" t="s">
        <v>159</v>
      </c>
      <c r="C510" s="21" t="s">
        <v>161</v>
      </c>
      <c r="D510" s="21" t="s">
        <v>163</v>
      </c>
      <c r="E510" s="21" t="s">
        <v>164</v>
      </c>
      <c r="F510" s="22" t="s">
        <v>165</v>
      </c>
      <c r="G510" s="43"/>
    </row>
    <row r="511" spans="2:7" ht="18" customHeight="1">
      <c r="B511" s="23">
        <v>0</v>
      </c>
      <c r="C511" s="24">
        <f>C188</f>
        <v>0.42000000000000004</v>
      </c>
      <c r="D511" s="24">
        <v>0</v>
      </c>
      <c r="E511" s="17">
        <f>1/2*(C512*D511-C511*D512)</f>
        <v>-0.046200000000000005</v>
      </c>
      <c r="F511" s="18">
        <f>-1/2*(D512-D511)*(C511^2+1/3*(C512-C511)*(C512+2*C511))</f>
        <v>-0.019404000000000005</v>
      </c>
      <c r="G511" s="44"/>
    </row>
    <row r="512" spans="2:7" ht="18" customHeight="1">
      <c r="B512" s="23">
        <f>B511+1</f>
        <v>1</v>
      </c>
      <c r="C512" s="24">
        <f>C511</f>
        <v>0.42000000000000004</v>
      </c>
      <c r="D512" s="24">
        <f>D188</f>
        <v>0.22</v>
      </c>
      <c r="E512" s="17">
        <f>1/2*(C513*D512-C512*D513)</f>
        <v>0.177</v>
      </c>
      <c r="F512" s="18">
        <f>-1/2*(D513-D512)*(C512^2+1/3*(C513-C512)*(C513+2*C512))</f>
        <v>0.083448</v>
      </c>
      <c r="G512" s="44"/>
    </row>
    <row r="513" spans="2:7" ht="18" customHeight="1">
      <c r="B513" s="23">
        <f>B512+1</f>
        <v>2</v>
      </c>
      <c r="C513" s="24">
        <f>C187</f>
        <v>1.8</v>
      </c>
      <c r="D513" s="24">
        <f>D187</f>
        <v>0.1</v>
      </c>
      <c r="E513" s="17">
        <f>1/2*(C514*D513-C513*D514)</f>
        <v>0.015</v>
      </c>
      <c r="F513" s="18">
        <f>-1/2*(D514-D513)*(C513^2+1/3*(C514-C513)*(C514+2*C513))</f>
        <v>0</v>
      </c>
      <c r="G513" s="44"/>
    </row>
    <row r="514" spans="2:17" ht="18" customHeight="1">
      <c r="B514" s="23">
        <f>B513+1</f>
        <v>3</v>
      </c>
      <c r="C514" s="24">
        <f>C186</f>
        <v>2.1</v>
      </c>
      <c r="D514" s="24">
        <f>D513</f>
        <v>0.1</v>
      </c>
      <c r="E514" s="17">
        <f>1/2*(C515*D514-C514*D515)</f>
        <v>0.021000000000000005</v>
      </c>
      <c r="F514" s="18">
        <f>-1/2*(D515-D514)*(C514^2+1/3*(C515-C514)*(C515+2*C514))</f>
        <v>0.09114</v>
      </c>
      <c r="G514" s="44"/>
      <c r="O514" s="9" t="s">
        <v>275</v>
      </c>
      <c r="P514" s="9">
        <f>ROUND(E516*E74,2)</f>
        <v>4.09</v>
      </c>
      <c r="Q514" s="9" t="s">
        <v>276</v>
      </c>
    </row>
    <row r="515" spans="2:17" ht="18" customHeight="1">
      <c r="B515" s="23">
        <f>B514+1</f>
        <v>4</v>
      </c>
      <c r="C515" s="24">
        <f>C511</f>
        <v>0.42000000000000004</v>
      </c>
      <c r="D515" s="24">
        <f>D511</f>
        <v>0</v>
      </c>
      <c r="E515" s="17">
        <v>0</v>
      </c>
      <c r="F515" s="18">
        <v>0</v>
      </c>
      <c r="G515" s="44"/>
      <c r="O515" s="9" t="s">
        <v>277</v>
      </c>
      <c r="P515" s="9">
        <f>ROUND(F516/E516-C511,2)</f>
        <v>0.51</v>
      </c>
      <c r="Q515" s="9" t="s">
        <v>37</v>
      </c>
    </row>
    <row r="516" spans="2:7" ht="18" customHeight="1">
      <c r="B516" s="20" t="s">
        <v>167</v>
      </c>
      <c r="C516" s="21" t="s">
        <v>170</v>
      </c>
      <c r="D516" s="21" t="s">
        <v>170</v>
      </c>
      <c r="E516" s="27">
        <f>ROUND(SUM(E511:E515),3)</f>
        <v>0.167</v>
      </c>
      <c r="F516" s="28">
        <f>ROUND(SUM(F511:F515),3)</f>
        <v>0.155</v>
      </c>
      <c r="G516" s="45"/>
    </row>
    <row r="517" spans="2:3" ht="18" customHeight="1">
      <c r="B517" s="9" t="s">
        <v>168</v>
      </c>
      <c r="C517" s="9" t="str">
        <f>"Wc= "&amp;E516&amp;" × "&amp;E74&amp;" = "&amp;P514&amp;Q514</f>
        <v>Wc= 0.167 × 24.5 = 4.09kN/m</v>
      </c>
    </row>
    <row r="518" spans="2:3" ht="18" customHeight="1">
      <c r="B518" s="9" t="s">
        <v>280</v>
      </c>
      <c r="C518" s="9" t="str">
        <f>"xc= "&amp;F516&amp;" / "&amp;E516&amp;"－"&amp;C511&amp;" = "&amp;P515&amp;Q515</f>
        <v>xc= 0.155 / 0.167－0.42 = 0.51m</v>
      </c>
    </row>
    <row r="519" spans="4:5" ht="18" customHeight="1">
      <c r="D519" s="10"/>
      <c r="E519" s="19"/>
    </row>
    <row r="520" ht="18" customHeight="1">
      <c r="A520" s="9" t="s">
        <v>301</v>
      </c>
    </row>
    <row r="521" ht="18" customHeight="1">
      <c r="G521" s="42"/>
    </row>
    <row r="522" spans="2:7" ht="18" customHeight="1">
      <c r="B522" s="20" t="s">
        <v>159</v>
      </c>
      <c r="C522" s="21" t="s">
        <v>161</v>
      </c>
      <c r="D522" s="21" t="s">
        <v>163</v>
      </c>
      <c r="E522" s="21" t="s">
        <v>164</v>
      </c>
      <c r="F522" s="22" t="s">
        <v>165</v>
      </c>
      <c r="G522" s="43"/>
    </row>
    <row r="523" spans="2:7" ht="18" customHeight="1">
      <c r="B523" s="23">
        <v>0</v>
      </c>
      <c r="C523" s="24">
        <f>C188</f>
        <v>0.42000000000000004</v>
      </c>
      <c r="D523" s="24">
        <f>D188</f>
        <v>0.22</v>
      </c>
      <c r="E523" s="17">
        <f aca="true" t="shared" si="11" ref="E523:E528">1/2*(C524*D523-C523*D524)</f>
        <v>-0.5229</v>
      </c>
      <c r="F523" s="18">
        <f aca="true" t="shared" si="12" ref="F523:F528">-1/2*(D524-D523)*(C523^2+1/3*(C524-C523)*(C524+2*C523))</f>
        <v>-0.219618</v>
      </c>
      <c r="G523" s="44"/>
    </row>
    <row r="524" spans="2:7" ht="18" customHeight="1">
      <c r="B524" s="23">
        <f aca="true" t="shared" si="13" ref="B524:B529">B523+1</f>
        <v>1</v>
      </c>
      <c r="C524" s="24">
        <f>C523</f>
        <v>0.42000000000000004</v>
      </c>
      <c r="D524" s="24">
        <f>ROUND(IF(C183&gt;=C188,H27,IF(C184&lt;=C188,H27+D46,(C188-C183)/D47+H27)),2)</f>
        <v>2.71</v>
      </c>
      <c r="E524" s="17">
        <f t="shared" si="11"/>
        <v>1.433</v>
      </c>
      <c r="F524" s="18">
        <f t="shared" si="12"/>
        <v>-0.4487726666666668</v>
      </c>
      <c r="G524" s="44"/>
    </row>
    <row r="525" spans="2:7" ht="18" customHeight="1">
      <c r="B525" s="23">
        <f t="shared" si="13"/>
        <v>2</v>
      </c>
      <c r="C525" s="24">
        <f aca="true" t="shared" si="14" ref="C525:D529">C184</f>
        <v>1.6</v>
      </c>
      <c r="D525" s="24">
        <f t="shared" si="14"/>
        <v>3.5</v>
      </c>
      <c r="E525" s="17">
        <f t="shared" si="11"/>
        <v>0.875</v>
      </c>
      <c r="F525" s="18">
        <f t="shared" si="12"/>
        <v>0</v>
      </c>
      <c r="G525" s="44"/>
    </row>
    <row r="526" spans="2:7" ht="18" customHeight="1">
      <c r="B526" s="23">
        <f t="shared" si="13"/>
        <v>3</v>
      </c>
      <c r="C526" s="24">
        <f t="shared" si="14"/>
        <v>2.1</v>
      </c>
      <c r="D526" s="24">
        <f t="shared" si="14"/>
        <v>3.5</v>
      </c>
      <c r="E526" s="17">
        <f t="shared" si="11"/>
        <v>3.5700000000000003</v>
      </c>
      <c r="F526" s="18">
        <f t="shared" si="12"/>
        <v>7.497</v>
      </c>
      <c r="G526" s="44"/>
    </row>
    <row r="527" spans="2:7" ht="18" customHeight="1">
      <c r="B527" s="23">
        <f t="shared" si="13"/>
        <v>4</v>
      </c>
      <c r="C527" s="24">
        <f t="shared" si="14"/>
        <v>2.1</v>
      </c>
      <c r="D527" s="24">
        <f t="shared" si="14"/>
        <v>0.1</v>
      </c>
      <c r="E527" s="17">
        <f t="shared" si="11"/>
        <v>-0.015</v>
      </c>
      <c r="F527" s="18">
        <f t="shared" si="12"/>
        <v>0</v>
      </c>
      <c r="G527" s="44"/>
    </row>
    <row r="528" spans="2:18" ht="18" customHeight="1">
      <c r="B528" s="23">
        <f t="shared" si="13"/>
        <v>5</v>
      </c>
      <c r="C528" s="24">
        <f t="shared" si="14"/>
        <v>1.8</v>
      </c>
      <c r="D528" s="24">
        <f t="shared" si="14"/>
        <v>0.1</v>
      </c>
      <c r="E528" s="17">
        <f t="shared" si="11"/>
        <v>-0.177</v>
      </c>
      <c r="F528" s="18">
        <f t="shared" si="12"/>
        <v>-0.083448</v>
      </c>
      <c r="G528" s="44"/>
      <c r="P528" s="9" t="s">
        <v>278</v>
      </c>
      <c r="Q528" s="9">
        <f>ROUND(E530*D48,2)</f>
        <v>98.1</v>
      </c>
      <c r="R528" s="9" t="s">
        <v>276</v>
      </c>
    </row>
    <row r="529" spans="2:18" ht="18" customHeight="1">
      <c r="B529" s="23">
        <f t="shared" si="13"/>
        <v>6</v>
      </c>
      <c r="C529" s="24">
        <f t="shared" si="14"/>
        <v>0.42000000000000004</v>
      </c>
      <c r="D529" s="24">
        <f t="shared" si="14"/>
        <v>0.22</v>
      </c>
      <c r="E529" s="17">
        <v>0</v>
      </c>
      <c r="F529" s="18">
        <v>0</v>
      </c>
      <c r="G529" s="44"/>
      <c r="P529" s="9" t="s">
        <v>279</v>
      </c>
      <c r="Q529" s="9">
        <f>ROUND(F530/E530-C523,2)</f>
        <v>0.89</v>
      </c>
      <c r="R529" s="9" t="s">
        <v>37</v>
      </c>
    </row>
    <row r="530" spans="2:7" ht="18" customHeight="1">
      <c r="B530" s="20" t="s">
        <v>167</v>
      </c>
      <c r="C530" s="21" t="s">
        <v>170</v>
      </c>
      <c r="D530" s="21" t="s">
        <v>170</v>
      </c>
      <c r="E530" s="27">
        <f>ROUND(SUM(E523:E529),3)</f>
        <v>5.163</v>
      </c>
      <c r="F530" s="28">
        <f>ROUND(SUM(F523:F529),3)</f>
        <v>6.745</v>
      </c>
      <c r="G530" s="45"/>
    </row>
    <row r="531" spans="2:18" ht="18" customHeight="1">
      <c r="B531" s="9" t="s">
        <v>168</v>
      </c>
      <c r="C531" s="9" t="str">
        <f>"Ws= "&amp;E530&amp;" × "&amp;D48&amp;" = "&amp;Q528&amp;R528</f>
        <v>Ws= 5.163 × 19 = 98.1kN/m</v>
      </c>
      <c r="P531" s="9" t="s">
        <v>283</v>
      </c>
      <c r="Q531" s="9">
        <f>N293</f>
        <v>12.68</v>
      </c>
      <c r="R531" s="9" t="str">
        <f>O293</f>
        <v> kN/m</v>
      </c>
    </row>
    <row r="532" spans="2:18" ht="18" customHeight="1">
      <c r="B532" s="9" t="s">
        <v>280</v>
      </c>
      <c r="C532" s="9" t="str">
        <f>"xs= "&amp;F530&amp;" / "&amp;E530&amp;"－"&amp;C523&amp;" = "&amp;Q529&amp;R529</f>
        <v>xs= 6.745 / 5.163－0.42 = 0.89m</v>
      </c>
      <c r="P532" s="9" t="s">
        <v>284</v>
      </c>
      <c r="Q532" s="9">
        <f>ROUND(2*G496/3,2)</f>
        <v>1.12</v>
      </c>
      <c r="R532" s="9" t="s">
        <v>37</v>
      </c>
    </row>
    <row r="533" spans="4:5" ht="18" customHeight="1">
      <c r="D533" s="10"/>
      <c r="E533" s="19"/>
    </row>
    <row r="534" spans="1:18" ht="18" customHeight="1">
      <c r="A534" s="9" t="s">
        <v>302</v>
      </c>
      <c r="P534" s="9" t="s">
        <v>289</v>
      </c>
      <c r="Q534" s="9">
        <f>ROUND(E65*G494,2)</f>
        <v>5</v>
      </c>
      <c r="R534" s="9" t="s">
        <v>276</v>
      </c>
    </row>
    <row r="535" spans="2:18" ht="18" customHeight="1">
      <c r="B535" s="9" t="s">
        <v>281</v>
      </c>
      <c r="D535" s="9" t="str">
        <f>"PAV="&amp;N293&amp;O293</f>
        <v>PAV=12.68 kN/m</v>
      </c>
      <c r="P535" s="9" t="s">
        <v>189</v>
      </c>
      <c r="Q535" s="9">
        <f>ROUND(0.5*(C526+C525)-C523,2)</f>
        <v>1.43</v>
      </c>
      <c r="R535" s="9" t="s">
        <v>37</v>
      </c>
    </row>
    <row r="536" spans="2:3" ht="18" customHeight="1">
      <c r="B536" s="9" t="s">
        <v>282</v>
      </c>
      <c r="C536" s="9" t="str">
        <f>"xA=2l/3=2×"&amp;G496&amp;"/3="&amp;Q532&amp;R532</f>
        <v>xA=2l/3=2×1.68/3=1.12m</v>
      </c>
    </row>
    <row r="537" spans="16:18" ht="18" customHeight="1">
      <c r="P537" s="9" t="s">
        <v>295</v>
      </c>
      <c r="Q537" s="9">
        <f>'入力画面'!E7</f>
        <v>2.1</v>
      </c>
      <c r="R537" s="9" t="s">
        <v>37</v>
      </c>
    </row>
    <row r="538" ht="18" customHeight="1">
      <c r="A538" s="9" t="s">
        <v>303</v>
      </c>
    </row>
    <row r="539" spans="2:3" ht="18" customHeight="1">
      <c r="B539" s="9" t="s">
        <v>285</v>
      </c>
      <c r="C539" s="9" t="str">
        <f>F494&amp;G494&amp;H494</f>
        <v>b = 0.5 m</v>
      </c>
    </row>
    <row r="540" spans="2:18" ht="18" customHeight="1">
      <c r="B540" s="9" t="s">
        <v>288</v>
      </c>
      <c r="C540" s="9" t="str">
        <f>"Vq="&amp;E65&amp;"×"&amp;G494&amp;"="&amp;Q534&amp;R534</f>
        <v>Vq=10×0.5=5kN/m</v>
      </c>
      <c r="P540" s="9" t="s">
        <v>17</v>
      </c>
      <c r="Q540" s="100">
        <f>H33</f>
        <v>0.22</v>
      </c>
      <c r="R540" s="9" t="s">
        <v>71</v>
      </c>
    </row>
    <row r="541" spans="2:18" ht="18" customHeight="1">
      <c r="B541" s="9" t="s">
        <v>282</v>
      </c>
      <c r="C541" s="9" t="str">
        <f>"xq=1/2×("&amp;C525&amp;"+"&amp;C526&amp;")-"&amp;C523&amp;"="&amp;Q535&amp;R535</f>
        <v>xq=1/2×(1.6+2.1)-0.42=1.43m</v>
      </c>
      <c r="P541" s="9" t="s">
        <v>130</v>
      </c>
      <c r="Q541" s="100">
        <f>H34</f>
        <v>0.2</v>
      </c>
      <c r="R541" s="9" t="s">
        <v>71</v>
      </c>
    </row>
    <row r="542" spans="16:18" ht="18" customHeight="1">
      <c r="P542" s="11" t="s">
        <v>667</v>
      </c>
      <c r="Q542" s="11">
        <f>IF(N312&gt;N316,2,1)</f>
        <v>1</v>
      </c>
      <c r="R542" s="9" t="str">
        <f>IF(Q542=1,"台形","三角形")</f>
        <v>台形</v>
      </c>
    </row>
    <row r="543" spans="1:18" ht="18" customHeight="1">
      <c r="A543" s="9" t="s">
        <v>304</v>
      </c>
      <c r="P543" s="9" t="s">
        <v>292</v>
      </c>
      <c r="Q543" s="9">
        <f>P337</f>
        <v>130.37</v>
      </c>
      <c r="R543" s="9" t="s">
        <v>53</v>
      </c>
    </row>
    <row r="544" spans="2:18" ht="18" customHeight="1">
      <c r="B544" s="9" t="s">
        <v>664</v>
      </c>
      <c r="D544" s="9" t="str">
        <f>IF(N312&gt;N316,"三角形分布(分布幅  3d="&amp;Q549&amp;R549&amp;")","台形分布")</f>
        <v>台形分布</v>
      </c>
      <c r="P544" s="9" t="s">
        <v>293</v>
      </c>
      <c r="Q544" s="9">
        <f>P338</f>
        <v>7.9</v>
      </c>
      <c r="R544" s="9" t="s">
        <v>53</v>
      </c>
    </row>
    <row r="545" spans="2:22" ht="18" customHeight="1">
      <c r="B545" s="9" t="s">
        <v>663</v>
      </c>
      <c r="C545" s="9" t="str">
        <f>"l ="&amp;G496&amp;H496</f>
        <v>l =1.68 m</v>
      </c>
      <c r="P545" s="9" t="s">
        <v>294</v>
      </c>
      <c r="Q545" s="9">
        <f>ROUND((Q543-Q544)/Q537*G496+Q544,2)</f>
        <v>105.88</v>
      </c>
      <c r="R545" s="9" t="s">
        <v>53</v>
      </c>
      <c r="T545" s="9" t="s">
        <v>666</v>
      </c>
      <c r="U545" s="9">
        <f>ROUND(Q543*(1-(Q540+Q541)/Q549),2)</f>
        <v>105.71</v>
      </c>
      <c r="V545" s="9" t="s">
        <v>53</v>
      </c>
    </row>
    <row r="546" spans="2:22" ht="18" customHeight="1">
      <c r="B546" s="9" t="s">
        <v>297</v>
      </c>
      <c r="P546" s="9" t="s">
        <v>296</v>
      </c>
      <c r="Q546" s="9">
        <f>ROUND((Q544+Q545)/2*G496,2)</f>
        <v>95.58</v>
      </c>
      <c r="R546" s="9" t="s">
        <v>276</v>
      </c>
      <c r="T546" s="9" t="s">
        <v>668</v>
      </c>
      <c r="U546" s="9">
        <f>ROUND(0.5*U545*(Q549-Q540-Q541),2)</f>
        <v>95.14</v>
      </c>
      <c r="V546" s="9" t="s">
        <v>276</v>
      </c>
    </row>
    <row r="547" spans="3:22" ht="18" customHeight="1">
      <c r="C547" s="9" t="str">
        <f>P543&amp;Q543&amp;R543</f>
        <v>q1=130.37kN/m2</v>
      </c>
      <c r="F547" s="9" t="str">
        <f>P544&amp;Q544&amp;R544</f>
        <v>q2=7.9kN/m2</v>
      </c>
      <c r="P547" s="9" t="s">
        <v>466</v>
      </c>
      <c r="Q547" s="9">
        <f>ROUND(G496/3*(Q545+2*Q544)/(Q544+Q545),2)</f>
        <v>0.6</v>
      </c>
      <c r="R547" s="9" t="s">
        <v>37</v>
      </c>
      <c r="T547" s="9" t="s">
        <v>466</v>
      </c>
      <c r="U547" s="9">
        <f>ROUND(Q548-(Q540+Q541)/3,2)</f>
        <v>0.6</v>
      </c>
      <c r="V547" s="9" t="s">
        <v>71</v>
      </c>
    </row>
    <row r="548" spans="3:18" ht="18" customHeight="1">
      <c r="C548" s="9" t="str">
        <f>IF(Q542=1,P551,P552)</f>
        <v>q3=(q1-q2)l/B+q2=(130.37-7.9)×1.68/2.1+7.9 = 105.88kN/m2</v>
      </c>
      <c r="P548" s="9" t="s">
        <v>263</v>
      </c>
      <c r="Q548" s="9">
        <f>N311</f>
        <v>0.74</v>
      </c>
      <c r="R548" s="9" t="s">
        <v>71</v>
      </c>
    </row>
    <row r="549" spans="2:18" ht="18" customHeight="1">
      <c r="B549" s="9" t="s">
        <v>298</v>
      </c>
      <c r="C549" s="9" t="str">
        <f>IF(Q542=1,P554,P555)</f>
        <v>QV=(q3+q2)l/2=(105.88+7.9)×1.68/2=95.58kN/m</v>
      </c>
      <c r="P549" s="9" t="s">
        <v>665</v>
      </c>
      <c r="Q549" s="9">
        <f>Q548*3</f>
        <v>2.2199999999999998</v>
      </c>
      <c r="R549" s="9" t="s">
        <v>71</v>
      </c>
    </row>
    <row r="550" spans="2:3" ht="18" customHeight="1">
      <c r="B550" s="9" t="s">
        <v>282</v>
      </c>
      <c r="C550" s="9" t="str">
        <f>IF(Q542=1,P557,T557)</f>
        <v>xv=l/3(q3+2q2)/(q3+q2)</v>
      </c>
    </row>
    <row r="551" spans="3:16" ht="18" customHeight="1">
      <c r="C551" s="9" t="str">
        <f>IF(Q542=1,P558,T558)</f>
        <v>=1.68/3×(105.88+2×7.9)/(105.88+7.9)</v>
      </c>
      <c r="P551" s="9" t="str">
        <f>"q3=(q1-q2)l/B+q2=("&amp;Q543&amp;"-"&amp;Q544&amp;")×"&amp;G496&amp;"/"&amp;Q537&amp;"+"&amp;Q544&amp;" = "&amp;Q545&amp;R545</f>
        <v>q3=(q1-q2)l/B+q2=(130.37-7.9)×1.68/2.1+7.9 = 105.88kN/m2</v>
      </c>
    </row>
    <row r="552" spans="3:16" ht="18" customHeight="1">
      <c r="C552" s="9" t="str">
        <f>IF(Q542=1,P559,T559)</f>
        <v>=0.6m</v>
      </c>
      <c r="P552" s="9" t="str">
        <f>"q3=q1{1-(B1+B2)/(3d)}="&amp;Q543&amp;"×{1-("&amp;Q540&amp;"+"&amp;Q541&amp;")/(3×"&amp;Q548&amp;")} = "&amp;U545&amp;V545</f>
        <v>q3=q1{1-(B1+B2)/(3d)}=130.37×{1-(0.22+0.2)/(3×0.74)} = 105.71kN/m2</v>
      </c>
    </row>
    <row r="554" spans="1:16" ht="18" customHeight="1">
      <c r="A554" s="9" t="s">
        <v>305</v>
      </c>
      <c r="P554" s="9" t="str">
        <f>"QV=(q3+q2)l/2=("&amp;Q545&amp;"+"&amp;Q544&amp;")×"&amp;G496&amp;"/2="&amp;Q546&amp;R546</f>
        <v>QV=(q3+q2)l/2=(105.88+7.9)×1.68/2=95.58kN/m</v>
      </c>
    </row>
    <row r="555" spans="2:16" ht="18" customHeight="1">
      <c r="B555" s="31"/>
      <c r="C555" s="21" t="s">
        <v>313</v>
      </c>
      <c r="D555" s="21" t="s">
        <v>314</v>
      </c>
      <c r="E555" s="22" t="s">
        <v>315</v>
      </c>
      <c r="P555" s="9" t="str">
        <f>"QV=1/2×q3(3d-B1-B2)=1/2×"&amp;U545&amp;"×(3×"&amp;Q548&amp;"-"&amp;Q540&amp;"-"&amp;Q541&amp;")="&amp;U546&amp;V546</f>
        <v>QV=1/2×q3(3d-B1-B2)=1/2×105.71×(3×0.74-0.22-0.2)=95.14kN/m</v>
      </c>
    </row>
    <row r="556" spans="2:5" ht="18" customHeight="1">
      <c r="B556" s="23" t="s">
        <v>308</v>
      </c>
      <c r="C556" s="24">
        <f>P514</f>
        <v>4.09</v>
      </c>
      <c r="D556" s="24">
        <f>P515</f>
        <v>0.51</v>
      </c>
      <c r="E556" s="32">
        <f>ROUND(C556*D556,2)</f>
        <v>2.09</v>
      </c>
    </row>
    <row r="557" spans="2:20" ht="18" customHeight="1">
      <c r="B557" s="23" t="s">
        <v>309</v>
      </c>
      <c r="C557" s="24">
        <f>Q528</f>
        <v>98.1</v>
      </c>
      <c r="D557" s="24">
        <f>Q529</f>
        <v>0.89</v>
      </c>
      <c r="E557" s="32">
        <f>ROUND(C557*D557,2)</f>
        <v>87.31</v>
      </c>
      <c r="P557" s="9" t="str">
        <f>"xv=l/3(q3+2q2)/(q3+q2)"</f>
        <v>xv=l/3(q3+2q2)/(q3+q2)</v>
      </c>
      <c r="T557" s="9" t="str">
        <f>"xv=d-(B1+B2)/3"</f>
        <v>xv=d-(B1+B2)/3</v>
      </c>
    </row>
    <row r="558" spans="2:20" ht="18" customHeight="1">
      <c r="B558" s="23" t="s">
        <v>310</v>
      </c>
      <c r="C558" s="24">
        <f>Q531</f>
        <v>12.68</v>
      </c>
      <c r="D558" s="24">
        <f>Q532</f>
        <v>1.12</v>
      </c>
      <c r="E558" s="32">
        <f>ROUND(C558*D558,2)</f>
        <v>14.2</v>
      </c>
      <c r="P558" s="9" t="str">
        <f>"="&amp;G496&amp;"/3×("&amp;Q545&amp;"+2×"&amp;Q544&amp;")/("&amp;Q545&amp;"+"&amp;Q544&amp;")"</f>
        <v>=1.68/3×(105.88+2×7.9)/(105.88+7.9)</v>
      </c>
      <c r="T558" s="9" t="str">
        <f>"="&amp;Q548&amp;"-("&amp;Q540&amp;"+"&amp;Q541&amp;")/3"</f>
        <v>=0.74-(0.22+0.2)/3</v>
      </c>
    </row>
    <row r="559" spans="2:20" ht="18" customHeight="1">
      <c r="B559" s="23" t="s">
        <v>311</v>
      </c>
      <c r="C559" s="24">
        <f>Q534</f>
        <v>5</v>
      </c>
      <c r="D559" s="24">
        <f>Q535</f>
        <v>1.43</v>
      </c>
      <c r="E559" s="32">
        <f>ROUND(C559*D559,2)</f>
        <v>7.15</v>
      </c>
      <c r="P559" s="9" t="str">
        <f>"="&amp;Q547&amp;R547</f>
        <v>=0.6m</v>
      </c>
      <c r="T559" s="9" t="str">
        <f>"="&amp;U547&amp;V547</f>
        <v>=0.6m</v>
      </c>
    </row>
    <row r="560" spans="2:5" ht="18" customHeight="1">
      <c r="B560" s="23" t="s">
        <v>312</v>
      </c>
      <c r="C560" s="24">
        <f>IF(Q542=1,-Q546,-U546)</f>
        <v>-95.58</v>
      </c>
      <c r="D560" s="24">
        <f>IF(Q542=1,Q547,U547)</f>
        <v>0.6</v>
      </c>
      <c r="E560" s="32">
        <f>ROUND(C560*D560,2)</f>
        <v>-57.35</v>
      </c>
    </row>
    <row r="561" spans="2:16" ht="18" customHeight="1">
      <c r="B561" s="20" t="s">
        <v>316</v>
      </c>
      <c r="C561" s="21">
        <f>SUM(C556:C560)</f>
        <v>24.290000000000006</v>
      </c>
      <c r="D561" s="21" t="s">
        <v>317</v>
      </c>
      <c r="E561" s="22">
        <f>SUM(E556:E560)</f>
        <v>53.40000000000001</v>
      </c>
      <c r="N561" s="11" t="s">
        <v>318</v>
      </c>
      <c r="O561" s="11">
        <f>C561</f>
        <v>24.290000000000006</v>
      </c>
      <c r="P561" s="9" t="s">
        <v>320</v>
      </c>
    </row>
    <row r="562" spans="2:20" ht="18" customHeight="1">
      <c r="B562" s="9" t="str">
        <f>"せん断力"&amp;N561&amp;O561&amp;P561</f>
        <v>せん断力S=24.29kN/m</v>
      </c>
      <c r="N562" s="11" t="s">
        <v>319</v>
      </c>
      <c r="O562" s="11">
        <f>E561</f>
        <v>53.40000000000001</v>
      </c>
      <c r="P562" s="9" t="s">
        <v>321</v>
      </c>
      <c r="Q562" s="9" t="str">
        <f>IF(O562&lt;=R562,"  &lt;  ","  &gt;  ")</f>
        <v>  &gt;  </v>
      </c>
      <c r="R562" s="9">
        <f>E451</f>
        <v>32.86</v>
      </c>
      <c r="S562" s="9" t="s">
        <v>321</v>
      </c>
      <c r="T562" s="9" t="s">
        <v>558</v>
      </c>
    </row>
    <row r="563" spans="2:15" ht="18" customHeight="1">
      <c r="B563" s="9" t="str">
        <f>"曲げモーメント"&amp;N562&amp;O562&amp;P562&amp;Q562&amp;R562&amp;S562&amp;T562</f>
        <v>曲げモーメントM=53.4kNm/m  &gt;  32.86kNm/m(たて壁)</v>
      </c>
      <c r="N563" s="9" t="s">
        <v>559</v>
      </c>
      <c r="O563" s="9">
        <f>データ!B92</f>
        <v>1</v>
      </c>
    </row>
    <row r="564" spans="2:16" ht="18" customHeight="1">
      <c r="B564" s="9" t="str">
        <f>IF(O563=2,"",IF(O562&gt;R562,"たて壁の曲げモーメントより大きいので計算にはたて壁の曲げモーメントを採用"))</f>
        <v>たて壁の曲げモーメントより大きいので計算にはたて壁の曲げモーメントを採用</v>
      </c>
      <c r="N564" s="9" t="s">
        <v>560</v>
      </c>
      <c r="O564" s="9">
        <f>IF(O563=2,O562,MIN(O562,R562))</f>
        <v>32.86</v>
      </c>
      <c r="P564" s="9" t="s">
        <v>321</v>
      </c>
    </row>
    <row r="566" ht="18" customHeight="1">
      <c r="A566" s="9" t="s">
        <v>322</v>
      </c>
    </row>
    <row r="567" spans="2:5" ht="18" customHeight="1">
      <c r="B567" s="9" t="s">
        <v>323</v>
      </c>
      <c r="C567" s="11" t="s">
        <v>324</v>
      </c>
      <c r="D567" s="11">
        <f>H28*1000</f>
        <v>220</v>
      </c>
      <c r="E567" s="9" t="s">
        <v>22</v>
      </c>
    </row>
    <row r="568" spans="2:5" ht="18" customHeight="1">
      <c r="B568" s="9" t="s">
        <v>325</v>
      </c>
      <c r="C568" s="11" t="s">
        <v>286</v>
      </c>
      <c r="D568" s="11">
        <v>1000</v>
      </c>
      <c r="E568" s="9" t="s">
        <v>22</v>
      </c>
    </row>
    <row r="569" spans="2:5" ht="18" customHeight="1">
      <c r="B569" s="12" t="s">
        <v>334</v>
      </c>
      <c r="C569" s="11" t="s">
        <v>333</v>
      </c>
      <c r="D569" s="11">
        <f>F79</f>
        <v>30</v>
      </c>
      <c r="E569" s="9" t="s">
        <v>22</v>
      </c>
    </row>
    <row r="570" spans="2:16" ht="18" customHeight="1">
      <c r="B570" s="9" t="s">
        <v>326</v>
      </c>
      <c r="C570" s="11" t="s">
        <v>327</v>
      </c>
      <c r="D570" s="11">
        <f>D567-D569</f>
        <v>190</v>
      </c>
      <c r="E570" s="9" t="s">
        <v>22</v>
      </c>
      <c r="N570" s="9" t="s">
        <v>337</v>
      </c>
      <c r="O570" s="9">
        <f>ROUND(D568/D573*D572,2)</f>
        <v>1588.8</v>
      </c>
      <c r="P570" s="9" t="s">
        <v>336</v>
      </c>
    </row>
    <row r="571" spans="2:15" ht="18" customHeight="1">
      <c r="B571" s="9" t="s">
        <v>335</v>
      </c>
      <c r="C571" s="11"/>
      <c r="D571" s="11" t="str">
        <f>D79</f>
        <v>D16</v>
      </c>
      <c r="N571" s="9" t="s">
        <v>341</v>
      </c>
      <c r="O571" s="9">
        <f>ROUND(15*O570/(D568*D570),4)</f>
        <v>0.1254</v>
      </c>
    </row>
    <row r="572" spans="2:5" ht="18" customHeight="1">
      <c r="B572" s="12" t="s">
        <v>328</v>
      </c>
      <c r="C572" s="11" t="s">
        <v>329</v>
      </c>
      <c r="D572" s="11">
        <f>データ!D45</f>
        <v>198.6</v>
      </c>
      <c r="E572" s="9" t="s">
        <v>336</v>
      </c>
    </row>
    <row r="573" spans="2:5" ht="18" customHeight="1">
      <c r="B573" s="9" t="s">
        <v>330</v>
      </c>
      <c r="C573" s="11" t="s">
        <v>331</v>
      </c>
      <c r="D573" s="11">
        <f>E79</f>
        <v>125</v>
      </c>
      <c r="E573" s="9" t="s">
        <v>22</v>
      </c>
    </row>
    <row r="574" spans="2:17" ht="18" customHeight="1">
      <c r="B574" s="9" t="s">
        <v>332</v>
      </c>
      <c r="C574" s="13" t="str">
        <f>"As=Aso×bs/s="&amp;D572&amp;"×"&amp;D568&amp;"/"&amp;D573&amp;"="&amp;O570&amp;P570</f>
        <v>As=Aso×bs/s=198.6×1000/125=1588.8mm2</v>
      </c>
      <c r="D574" s="11"/>
      <c r="N574" s="9" t="s">
        <v>343</v>
      </c>
      <c r="O574" s="9">
        <f>ROUND((O571^2+2*O571)^0.5-O571,3)</f>
        <v>0.391</v>
      </c>
      <c r="P574" s="9" t="s">
        <v>344</v>
      </c>
      <c r="Q574" s="9">
        <f>ROUND(1-O574/3,3)</f>
        <v>0.87</v>
      </c>
    </row>
    <row r="575" spans="2:4" ht="18" customHeight="1">
      <c r="B575" s="9" t="s">
        <v>338</v>
      </c>
      <c r="D575" s="9" t="s">
        <v>339</v>
      </c>
    </row>
    <row r="576" spans="2:3" ht="18" customHeight="1">
      <c r="B576" s="9" t="s">
        <v>340</v>
      </c>
      <c r="C576" s="9" t="str">
        <f>"np=n・As/(b・d)=15×"&amp;O570&amp;"/("&amp;D568&amp;"×"&amp;D570&amp;")="&amp;O571</f>
        <v>np=n・As/(b・d)=15×1588.8/(1000×190)=0.1254</v>
      </c>
    </row>
    <row r="578" spans="2:21" ht="18" customHeight="1">
      <c r="B578" s="9" t="s">
        <v>342</v>
      </c>
      <c r="E578" s="9" t="str">
        <f>"   ("&amp;O571&amp;"^2+2*"&amp;O571&amp;")-"&amp;O571&amp;"="&amp;O574</f>
        <v>   (0.1254^2+2*0.1254)-0.1254=0.391</v>
      </c>
      <c r="N578" s="9" t="s">
        <v>346</v>
      </c>
      <c r="O578" s="9">
        <f>ROUND(2*O564*1000000/(O574*Q574*D568*D570^2),1)</f>
        <v>5.4</v>
      </c>
      <c r="P578" s="9" t="s">
        <v>27</v>
      </c>
      <c r="Q578" s="9" t="str">
        <f>IF(O578&lt;=S578,"  &lt;  ","  &gt;  ")</f>
        <v>  &lt;  </v>
      </c>
      <c r="R578" s="9" t="str">
        <f>"σca  =  "</f>
        <v>σca  =  </v>
      </c>
      <c r="S578" s="9">
        <f>'入力画面'!K37</f>
        <v>8</v>
      </c>
      <c r="T578" s="9" t="str">
        <f>" N/mm2    "</f>
        <v> N/mm2    </v>
      </c>
      <c r="U578" s="9" t="str">
        <f>IF(O578&lt;=S578,"(OK)","(NG)")</f>
        <v>(OK)</v>
      </c>
    </row>
    <row r="579" ht="18" customHeight="1">
      <c r="C579" s="9" t="str">
        <f>"J=1-k/3=1-"&amp;O574&amp;"/3="&amp;Q574</f>
        <v>J=1-k/3=1-0.391/3=0.87</v>
      </c>
    </row>
    <row r="581" ht="18" customHeight="1">
      <c r="B581" s="9" t="s">
        <v>345</v>
      </c>
    </row>
    <row r="582" spans="4:9" ht="18" customHeight="1">
      <c r="D582" s="132" t="str">
        <f>"2×"&amp;O564*1000000</f>
        <v>2×32860000</v>
      </c>
      <c r="E582" s="132"/>
      <c r="F582" s="132"/>
      <c r="G582" s="131" t="str">
        <f>"="&amp;O578&amp;P578</f>
        <v>=5.4N/mm2</v>
      </c>
      <c r="H582" s="131"/>
      <c r="I582" s="131"/>
    </row>
    <row r="583" spans="4:21" ht="18" customHeight="1">
      <c r="D583" s="134" t="str">
        <f>O574&amp;"×"&amp;Q574&amp;"×"&amp;D568&amp;"×"&amp;D570&amp;"^2"</f>
        <v>0.391×0.87×1000×190^2</v>
      </c>
      <c r="E583" s="134"/>
      <c r="F583" s="134"/>
      <c r="G583" s="131"/>
      <c r="H583" s="131"/>
      <c r="I583" s="131"/>
      <c r="N583" s="9" t="s">
        <v>348</v>
      </c>
      <c r="O583" s="9">
        <f>ROUND(O564*1000000/(O570*Q574*D570),0)</f>
        <v>125</v>
      </c>
      <c r="P583" s="9" t="s">
        <v>27</v>
      </c>
      <c r="Q583" s="9" t="str">
        <f>IF(O583&lt;=S583,"  &lt;  ","  &gt;  ")</f>
        <v>  &lt;  </v>
      </c>
      <c r="R583" s="9" t="str">
        <f>"σsa  =  "</f>
        <v>σsa  =  </v>
      </c>
      <c r="S583" s="9">
        <f>'入力画面'!K39</f>
        <v>180</v>
      </c>
      <c r="T583" s="9" t="str">
        <f>" N/mm2    "</f>
        <v> N/mm2    </v>
      </c>
      <c r="U583" s="9" t="str">
        <f>IF(O583&lt;=S583,"(OK)","(NG)")</f>
        <v>(OK)</v>
      </c>
    </row>
    <row r="584" ht="18" customHeight="1">
      <c r="G584" s="9" t="str">
        <f>Q578&amp;R578&amp;S578&amp;T578&amp;U578</f>
        <v>  &lt;  σca  =  8 N/mm2    (OK)</v>
      </c>
    </row>
    <row r="586" ht="18" customHeight="1">
      <c r="B586" s="9" t="s">
        <v>347</v>
      </c>
    </row>
    <row r="587" spans="4:8" ht="18" customHeight="1">
      <c r="D587" s="132">
        <f>O564*1000000</f>
        <v>32860000</v>
      </c>
      <c r="E587" s="132"/>
      <c r="F587" s="132"/>
      <c r="G587" s="131" t="str">
        <f>"="&amp;O583&amp;P583</f>
        <v>=125N/mm2</v>
      </c>
      <c r="H587" s="131"/>
    </row>
    <row r="588" spans="4:21" ht="18" customHeight="1">
      <c r="D588" s="134" t="str">
        <f>O570&amp;"×"&amp;Q574&amp;"×"&amp;D570</f>
        <v>1588.8×0.87×190</v>
      </c>
      <c r="E588" s="134"/>
      <c r="F588" s="134"/>
      <c r="G588" s="131"/>
      <c r="H588" s="131"/>
      <c r="N588" s="9" t="s">
        <v>350</v>
      </c>
      <c r="O588" s="9">
        <f>ROUND(O561*1000/(D568*D570),2)</f>
        <v>0.13</v>
      </c>
      <c r="P588" s="9" t="s">
        <v>27</v>
      </c>
      <c r="Q588" s="9" t="str">
        <f>IF(O588&lt;=S588,"  &lt;  ","  &gt;  ")</f>
        <v>  &lt;  </v>
      </c>
      <c r="R588" s="9" t="str">
        <f>"τca  =  "</f>
        <v>τca  =  </v>
      </c>
      <c r="S588" s="9">
        <f>'入力画面'!K38</f>
        <v>0.39</v>
      </c>
      <c r="T588" s="9" t="str">
        <f>" N/mm2    "</f>
        <v> N/mm2    </v>
      </c>
      <c r="U588" s="9" t="str">
        <f>IF(O588&lt;=S588,"(OK)","(NG)")</f>
        <v>(OK)</v>
      </c>
    </row>
    <row r="589" ht="18" customHeight="1">
      <c r="G589" s="9" t="str">
        <f>Q583&amp;R583&amp;S583&amp;T583&amp;U583</f>
        <v>  &lt;  σsa  =  180 N/mm2    (OK)</v>
      </c>
    </row>
    <row r="591" ht="18" customHeight="1">
      <c r="B591" s="9" t="s">
        <v>349</v>
      </c>
    </row>
    <row r="592" spans="4:8" ht="18" customHeight="1">
      <c r="D592" s="132">
        <f>O561*1000</f>
        <v>24290.000000000007</v>
      </c>
      <c r="E592" s="132"/>
      <c r="F592" s="131" t="str">
        <f>"="&amp;O588&amp;P588</f>
        <v>=0.13N/mm2</v>
      </c>
      <c r="G592" s="131"/>
      <c r="H592" s="131"/>
    </row>
    <row r="593" spans="4:8" ht="18" customHeight="1">
      <c r="D593" s="134" t="str">
        <f>D568&amp;"×"&amp;D570</f>
        <v>1000×190</v>
      </c>
      <c r="E593" s="134"/>
      <c r="F593" s="131"/>
      <c r="G593" s="131"/>
      <c r="H593" s="131"/>
    </row>
    <row r="594" ht="18" customHeight="1">
      <c r="F594" s="9" t="str">
        <f>Q588&amp;R588&amp;S588&amp;T588&amp;U588</f>
        <v>  &lt;  τca  =  0.39 N/mm2    (OK)</v>
      </c>
    </row>
    <row r="596" ht="18" customHeight="1">
      <c r="A596" s="9" t="s">
        <v>568</v>
      </c>
    </row>
    <row r="597" ht="18" customHeight="1">
      <c r="A597" s="9" t="s">
        <v>633</v>
      </c>
    </row>
    <row r="621" ht="18" customHeight="1">
      <c r="A621" s="9" t="s">
        <v>567</v>
      </c>
    </row>
    <row r="622" ht="18" customHeight="1">
      <c r="B622" s="9" t="s">
        <v>561</v>
      </c>
    </row>
    <row r="623" ht="18" customHeight="1">
      <c r="B623" s="9" t="s">
        <v>563</v>
      </c>
    </row>
    <row r="624" ht="18" customHeight="1">
      <c r="C624" s="9" t="s">
        <v>562</v>
      </c>
    </row>
    <row r="625" ht="18" customHeight="1">
      <c r="B625" s="9" t="s">
        <v>564</v>
      </c>
    </row>
    <row r="626" ht="18" customHeight="1">
      <c r="C626" s="9" t="s">
        <v>605</v>
      </c>
    </row>
    <row r="627" ht="18" customHeight="1">
      <c r="B627" s="9" t="s">
        <v>565</v>
      </c>
    </row>
    <row r="628" ht="18" customHeight="1">
      <c r="C628" s="9" t="s">
        <v>566</v>
      </c>
    </row>
    <row r="629" ht="18" customHeight="1">
      <c r="B629" s="9" t="s">
        <v>606</v>
      </c>
    </row>
    <row r="630" spans="3:5" ht="18" customHeight="1">
      <c r="C630" s="135" t="s">
        <v>609</v>
      </c>
      <c r="D630" s="132" t="s">
        <v>607</v>
      </c>
      <c r="E630" s="132"/>
    </row>
    <row r="631" spans="3:5" ht="18" customHeight="1">
      <c r="C631" s="135"/>
      <c r="D631" s="134" t="s">
        <v>608</v>
      </c>
      <c r="E631" s="134"/>
    </row>
    <row r="633" ht="18" customHeight="1">
      <c r="A633" s="9" t="s">
        <v>569</v>
      </c>
    </row>
    <row r="634" ht="18" customHeight="1">
      <c r="B634" s="9" t="s">
        <v>570</v>
      </c>
    </row>
    <row r="635" ht="18" customHeight="1">
      <c r="B635" s="9" t="s">
        <v>571</v>
      </c>
    </row>
    <row r="636" ht="18" customHeight="1">
      <c r="C636" s="9" t="s">
        <v>593</v>
      </c>
    </row>
    <row r="637" ht="18" customHeight="1">
      <c r="B637" s="9" t="s">
        <v>572</v>
      </c>
    </row>
    <row r="638" ht="18" customHeight="1">
      <c r="C638" s="9" t="s">
        <v>598</v>
      </c>
    </row>
    <row r="640" ht="18" customHeight="1">
      <c r="A640" s="9" t="s">
        <v>573</v>
      </c>
    </row>
    <row r="641" ht="18" customHeight="1">
      <c r="B641" s="9" t="s">
        <v>574</v>
      </c>
    </row>
    <row r="642" spans="3:5" ht="18" customHeight="1">
      <c r="C642" s="135" t="s">
        <v>575</v>
      </c>
      <c r="D642" s="132" t="s">
        <v>576</v>
      </c>
      <c r="E642" s="132"/>
    </row>
    <row r="643" spans="3:5" ht="18" customHeight="1">
      <c r="C643" s="135"/>
      <c r="D643" s="134" t="s">
        <v>577</v>
      </c>
      <c r="E643" s="134"/>
    </row>
    <row r="644" ht="18" customHeight="1">
      <c r="B644" s="9" t="s">
        <v>650</v>
      </c>
    </row>
    <row r="645" spans="3:4" ht="18" customHeight="1">
      <c r="C645" s="10" t="s">
        <v>578</v>
      </c>
      <c r="D645" s="9">
        <f>Q462</f>
        <v>0.87</v>
      </c>
    </row>
    <row r="646" ht="18" customHeight="1">
      <c r="B646" s="9" t="s">
        <v>579</v>
      </c>
    </row>
    <row r="647" ht="18" customHeight="1">
      <c r="B647" s="9" t="s">
        <v>580</v>
      </c>
    </row>
    <row r="648" spans="3:5" ht="18" customHeight="1">
      <c r="C648" s="135" t="s">
        <v>581</v>
      </c>
      <c r="D648" s="91" t="s">
        <v>582</v>
      </c>
      <c r="E648" s="131" t="s">
        <v>634</v>
      </c>
    </row>
    <row r="649" spans="3:5" ht="18" customHeight="1">
      <c r="C649" s="135"/>
      <c r="D649" s="92" t="s">
        <v>583</v>
      </c>
      <c r="E649" s="131"/>
    </row>
    <row r="650" spans="3:4" ht="18" customHeight="1">
      <c r="C650" s="10"/>
      <c r="D650" s="43"/>
    </row>
    <row r="651" spans="1:13" ht="18" customHeight="1">
      <c r="A651" s="9" t="s">
        <v>631</v>
      </c>
      <c r="K651" s="9" t="s">
        <v>585</v>
      </c>
      <c r="L651" s="100">
        <f>H28</f>
        <v>0.22</v>
      </c>
      <c r="M651" s="9" t="s">
        <v>589</v>
      </c>
    </row>
    <row r="652" spans="2:13" ht="18" customHeight="1">
      <c r="B652" s="9" t="str">
        <f>K651&amp;L651&amp;M651&amp;K652&amp;L652&amp;M652&amp;K653&amp;H655&amp;M653&amp;K656&amp;L656&amp;M656</f>
        <v>H1=0.22m　，H2=0.2m　，H3=m　，H4=0.2m</v>
      </c>
      <c r="K652" s="9" t="s">
        <v>586</v>
      </c>
      <c r="L652" s="100">
        <f>H29</f>
        <v>0.2</v>
      </c>
      <c r="M652" s="9" t="s">
        <v>589</v>
      </c>
    </row>
    <row r="653" spans="2:13" ht="18" customHeight="1">
      <c r="B653" s="9" t="str">
        <f>K657&amp;L657&amp;M657&amp;K658&amp;L658&amp;M658&amp;K659&amp;L659&amp;M659</f>
        <v>tw=100mm，B1=220mm　，iw=30mm</v>
      </c>
      <c r="K653" s="9" t="s">
        <v>587</v>
      </c>
      <c r="L653" s="100">
        <f>H30</f>
        <v>1.88</v>
      </c>
      <c r="M653" s="9" t="s">
        <v>589</v>
      </c>
    </row>
    <row r="654" spans="2:12" ht="18" customHeight="1">
      <c r="B654" s="9" t="str">
        <f>K661&amp;L661&amp;M661&amp;K662&amp;L662&amp;M662</f>
        <v>PH=5kN/m　，h=1.1m</v>
      </c>
      <c r="L654" s="100"/>
    </row>
    <row r="655" spans="2:12" ht="18" customHeight="1">
      <c r="B655" s="9" t="str">
        <f>K668&amp;L668&amp;M668&amp;K664&amp;L664&amp;M664&amp;K663&amp;L663&amp;M663&amp;K665&amp;L665&amp;M665&amp;K666&amp;L666&amp;M666</f>
        <v>Hd=2.08m　，PAH=24.58kN/m　，hs=0m　，γ=19kN/m3　，q=10kN/m2</v>
      </c>
      <c r="L655" s="100"/>
    </row>
    <row r="656" spans="3:13" ht="18" customHeight="1">
      <c r="C656" s="135" t="s">
        <v>609</v>
      </c>
      <c r="D656" s="132" t="str">
        <f>"2×"&amp;L664</f>
        <v>2×24.58</v>
      </c>
      <c r="E656" s="132"/>
      <c r="F656" s="131" t="str">
        <f>"="&amp;L669</f>
        <v>=0.598</v>
      </c>
      <c r="K656" s="9" t="s">
        <v>588</v>
      </c>
      <c r="L656" s="100">
        <f>H31</f>
        <v>0.2</v>
      </c>
      <c r="M656" s="9" t="s">
        <v>590</v>
      </c>
    </row>
    <row r="657" spans="3:13" ht="18" customHeight="1">
      <c r="C657" s="135"/>
      <c r="D657" s="129" t="str">
        <f>L665&amp;"×"&amp;L668&amp;"×(2×"&amp;L663&amp;"+"&amp;L668&amp;")"</f>
        <v>19×2.08×(2×0+2.08)</v>
      </c>
      <c r="E657" s="129"/>
      <c r="F657" s="131"/>
      <c r="K657" s="9" t="s">
        <v>594</v>
      </c>
      <c r="L657" s="101">
        <f>H37*1000</f>
        <v>100</v>
      </c>
      <c r="M657" s="9" t="s">
        <v>596</v>
      </c>
    </row>
    <row r="658" spans="2:13" ht="18" customHeight="1">
      <c r="B658" s="9" t="str">
        <f>"付け根の鉄筋 "&amp;L672&amp;M672</f>
        <v>付け根の鉄筋 D16@125(mm)</v>
      </c>
      <c r="K658" s="9" t="s">
        <v>591</v>
      </c>
      <c r="L658" s="101">
        <f>H33*1000</f>
        <v>220</v>
      </c>
      <c r="M658" s="9" t="s">
        <v>597</v>
      </c>
    </row>
    <row r="659" spans="2:13" ht="18" customHeight="1">
      <c r="B659" s="9" t="str">
        <f>K660&amp;L660&amp;M660&amp;K671&amp;L671&amp;M671</f>
        <v>Aso=198.6mm2　，σsa=180N/mm2</v>
      </c>
      <c r="K659" s="9" t="s">
        <v>333</v>
      </c>
      <c r="L659" s="9">
        <f>F78</f>
        <v>30</v>
      </c>
      <c r="M659" s="9" t="s">
        <v>595</v>
      </c>
    </row>
    <row r="660" spans="11:13" ht="18" customHeight="1">
      <c r="K660" s="9" t="s">
        <v>592</v>
      </c>
      <c r="L660" s="9">
        <f>D459</f>
        <v>198.6</v>
      </c>
      <c r="M660" s="9" t="s">
        <v>625</v>
      </c>
    </row>
    <row r="661" spans="2:13" ht="18" customHeight="1">
      <c r="B661" s="102" t="s">
        <v>584</v>
      </c>
      <c r="C661" s="35" t="s">
        <v>622</v>
      </c>
      <c r="D661" s="35" t="s">
        <v>599</v>
      </c>
      <c r="E661" s="35" t="s">
        <v>614</v>
      </c>
      <c r="F661" s="35" t="s">
        <v>576</v>
      </c>
      <c r="G661" s="35" t="s">
        <v>615</v>
      </c>
      <c r="H661" s="103" t="s">
        <v>619</v>
      </c>
      <c r="K661" s="9" t="s">
        <v>600</v>
      </c>
      <c r="L661" s="9">
        <f>E69</f>
        <v>5</v>
      </c>
      <c r="M661" s="9" t="s">
        <v>626</v>
      </c>
    </row>
    <row r="662" spans="2:13" ht="18" customHeight="1">
      <c r="B662" s="51" t="s">
        <v>620</v>
      </c>
      <c r="C662" s="33" t="s">
        <v>621</v>
      </c>
      <c r="D662" s="33" t="s">
        <v>623</v>
      </c>
      <c r="E662" s="33" t="s">
        <v>623</v>
      </c>
      <c r="F662" s="33" t="s">
        <v>623</v>
      </c>
      <c r="G662" s="33" t="s">
        <v>624</v>
      </c>
      <c r="H662" s="34" t="s">
        <v>621</v>
      </c>
      <c r="K662" s="9" t="s">
        <v>601</v>
      </c>
      <c r="L662" s="9">
        <f>E68</f>
        <v>1.1</v>
      </c>
      <c r="M662" s="9" t="s">
        <v>37</v>
      </c>
    </row>
    <row r="663" spans="2:13" ht="18" customHeight="1">
      <c r="B663" s="104">
        <v>0</v>
      </c>
      <c r="C663" s="24">
        <f aca="true" t="shared" si="15" ref="C663:C683">ROUND(IF(B663&lt;=$L$656,$L$657-$L$659,$L$657+($L$658-$L$657)*(B663-$L$656)/$L$653-$L$659),0)</f>
        <v>70</v>
      </c>
      <c r="D663" s="24">
        <f>ROUND($L$661*($L$662+B663),2)</f>
        <v>5.5</v>
      </c>
      <c r="E663" s="24">
        <f>ROUND(0.5*$L$663*$L$665*B663^2+1/6*$L$665*$L$669*B663^3,2)</f>
        <v>0</v>
      </c>
      <c r="F663" s="24">
        <f>D663+E663</f>
        <v>5.5</v>
      </c>
      <c r="G663" s="24">
        <f aca="true" t="shared" si="16" ref="G663:G683">ROUND(F663*1000000/($L$671*$D$645*C663),1)</f>
        <v>501.7</v>
      </c>
      <c r="H663" s="32">
        <f>MIN(IF(F663=0,300,ROUND($L$660/G663*1000,0)),300)</f>
        <v>300</v>
      </c>
      <c r="K663" s="9" t="s">
        <v>611</v>
      </c>
      <c r="L663" s="9">
        <f>IF(L667=2,0,P415)</f>
        <v>0</v>
      </c>
      <c r="M663" s="9" t="s">
        <v>589</v>
      </c>
    </row>
    <row r="664" spans="2:13" ht="18" customHeight="1">
      <c r="B664" s="104">
        <f aca="true" t="shared" si="17" ref="B664:B683">($L$653+$L$656)/20+B663</f>
        <v>0.10400000000000001</v>
      </c>
      <c r="C664" s="24">
        <f t="shared" si="15"/>
        <v>70</v>
      </c>
      <c r="D664" s="24">
        <f aca="true" t="shared" si="18" ref="D664:D683">ROUND($L$661*($L$662+B664),2)</f>
        <v>6.02</v>
      </c>
      <c r="E664" s="24">
        <f aca="true" t="shared" si="19" ref="E664:E683">ROUND(0.5*$L$663*$L$665*B664^2+1/6*$L$665*$L$669*B664^3,2)</f>
        <v>0</v>
      </c>
      <c r="F664" s="24">
        <f aca="true" t="shared" si="20" ref="F664:F683">D664+E664</f>
        <v>6.02</v>
      </c>
      <c r="G664" s="24">
        <f t="shared" si="16"/>
        <v>549.2</v>
      </c>
      <c r="H664" s="32">
        <f aca="true" t="shared" si="21" ref="H664:H682">MIN(IF(F664=0,300,ROUND($L$660/G664*1000,0)),300)</f>
        <v>300</v>
      </c>
      <c r="K664" s="9" t="s">
        <v>610</v>
      </c>
      <c r="L664" s="9">
        <f>P410</f>
        <v>24.58</v>
      </c>
      <c r="M664" s="9" t="s">
        <v>627</v>
      </c>
    </row>
    <row r="665" spans="2:13" ht="18" customHeight="1">
      <c r="B665" s="104">
        <f t="shared" si="17"/>
        <v>0.20800000000000002</v>
      </c>
      <c r="C665" s="24">
        <f t="shared" si="15"/>
        <v>71</v>
      </c>
      <c r="D665" s="24">
        <f t="shared" si="18"/>
        <v>6.54</v>
      </c>
      <c r="E665" s="24">
        <f t="shared" si="19"/>
        <v>0.02</v>
      </c>
      <c r="F665" s="24">
        <f t="shared" si="20"/>
        <v>6.56</v>
      </c>
      <c r="G665" s="24">
        <f t="shared" si="16"/>
        <v>590</v>
      </c>
      <c r="H665" s="32">
        <f t="shared" si="21"/>
        <v>300</v>
      </c>
      <c r="K665" s="9" t="s">
        <v>602</v>
      </c>
      <c r="L665" s="9">
        <f>D48</f>
        <v>19</v>
      </c>
      <c r="M665" s="9" t="s">
        <v>628</v>
      </c>
    </row>
    <row r="666" spans="2:13" ht="18" customHeight="1">
      <c r="B666" s="104">
        <f t="shared" si="17"/>
        <v>0.31200000000000006</v>
      </c>
      <c r="C666" s="24">
        <f t="shared" si="15"/>
        <v>77</v>
      </c>
      <c r="D666" s="24">
        <f t="shared" si="18"/>
        <v>7.06</v>
      </c>
      <c r="E666" s="24">
        <f t="shared" si="19"/>
        <v>0.06</v>
      </c>
      <c r="F666" s="24">
        <f t="shared" si="20"/>
        <v>7.119999999999999</v>
      </c>
      <c r="G666" s="24">
        <f t="shared" si="16"/>
        <v>590.5</v>
      </c>
      <c r="H666" s="32">
        <f t="shared" si="21"/>
        <v>300</v>
      </c>
      <c r="K666" s="9" t="s">
        <v>603</v>
      </c>
      <c r="L666" s="9">
        <f>E65</f>
        <v>10</v>
      </c>
      <c r="M666" s="9" t="s">
        <v>612</v>
      </c>
    </row>
    <row r="667" spans="2:12" ht="18" customHeight="1">
      <c r="B667" s="104">
        <f t="shared" si="17"/>
        <v>0.41600000000000004</v>
      </c>
      <c r="C667" s="24">
        <f t="shared" si="15"/>
        <v>84</v>
      </c>
      <c r="D667" s="24">
        <f t="shared" si="18"/>
        <v>7.58</v>
      </c>
      <c r="E667" s="24">
        <f t="shared" si="19"/>
        <v>0.14</v>
      </c>
      <c r="F667" s="24">
        <f t="shared" si="20"/>
        <v>7.72</v>
      </c>
      <c r="G667" s="24">
        <f t="shared" si="16"/>
        <v>586.9</v>
      </c>
      <c r="H667" s="32">
        <f t="shared" si="21"/>
        <v>300</v>
      </c>
      <c r="K667" s="9" t="s">
        <v>604</v>
      </c>
      <c r="L667" s="9">
        <f>P417</f>
        <v>2</v>
      </c>
    </row>
    <row r="668" spans="2:13" ht="18" customHeight="1">
      <c r="B668" s="104">
        <f t="shared" si="17"/>
        <v>0.52</v>
      </c>
      <c r="C668" s="24">
        <f t="shared" si="15"/>
        <v>90</v>
      </c>
      <c r="D668" s="24">
        <f t="shared" si="18"/>
        <v>8.1</v>
      </c>
      <c r="E668" s="24">
        <f t="shared" si="19"/>
        <v>0.27</v>
      </c>
      <c r="F668" s="24">
        <f t="shared" si="20"/>
        <v>8.37</v>
      </c>
      <c r="G668" s="24">
        <f t="shared" si="16"/>
        <v>593.9</v>
      </c>
      <c r="H668" s="32">
        <f t="shared" si="21"/>
        <v>300</v>
      </c>
      <c r="K668" s="9" t="s">
        <v>405</v>
      </c>
      <c r="L668" s="9">
        <f>P413</f>
        <v>2.08</v>
      </c>
      <c r="M668" s="9" t="s">
        <v>629</v>
      </c>
    </row>
    <row r="669" spans="2:12" ht="18" customHeight="1">
      <c r="B669" s="104">
        <f t="shared" si="17"/>
        <v>0.624</v>
      </c>
      <c r="C669" s="24">
        <f t="shared" si="15"/>
        <v>97</v>
      </c>
      <c r="D669" s="24">
        <f t="shared" si="18"/>
        <v>8.62</v>
      </c>
      <c r="E669" s="24">
        <f t="shared" si="19"/>
        <v>0.46</v>
      </c>
      <c r="F669" s="24">
        <f t="shared" si="20"/>
        <v>9.08</v>
      </c>
      <c r="G669" s="24">
        <f t="shared" si="16"/>
        <v>597.8</v>
      </c>
      <c r="H669" s="32">
        <f t="shared" si="21"/>
        <v>300</v>
      </c>
      <c r="K669" s="9" t="s">
        <v>613</v>
      </c>
      <c r="L669" s="9">
        <f>ROUND(2*L664/(L665*L668*(2*L663+L668)),3)</f>
        <v>0.598</v>
      </c>
    </row>
    <row r="670" spans="2:8" ht="18" customHeight="1">
      <c r="B670" s="104">
        <f t="shared" si="17"/>
        <v>0.728</v>
      </c>
      <c r="C670" s="24">
        <f t="shared" si="15"/>
        <v>104</v>
      </c>
      <c r="D670" s="24">
        <f t="shared" si="18"/>
        <v>9.14</v>
      </c>
      <c r="E670" s="24">
        <f t="shared" si="19"/>
        <v>0.73</v>
      </c>
      <c r="F670" s="24">
        <f t="shared" si="20"/>
        <v>9.870000000000001</v>
      </c>
      <c r="G670" s="24">
        <f t="shared" si="16"/>
        <v>606</v>
      </c>
      <c r="H670" s="32">
        <f t="shared" si="21"/>
        <v>300</v>
      </c>
    </row>
    <row r="671" spans="2:13" ht="18" customHeight="1">
      <c r="B671" s="104">
        <f t="shared" si="17"/>
        <v>0.832</v>
      </c>
      <c r="C671" s="24">
        <f t="shared" si="15"/>
        <v>110</v>
      </c>
      <c r="D671" s="24">
        <f t="shared" si="18"/>
        <v>9.66</v>
      </c>
      <c r="E671" s="24">
        <f t="shared" si="19"/>
        <v>1.09</v>
      </c>
      <c r="F671" s="24">
        <f t="shared" si="20"/>
        <v>10.75</v>
      </c>
      <c r="G671" s="24">
        <f t="shared" si="16"/>
        <v>624.1</v>
      </c>
      <c r="H671" s="32">
        <f t="shared" si="21"/>
        <v>300</v>
      </c>
      <c r="K671" s="9" t="s">
        <v>616</v>
      </c>
      <c r="L671" s="9">
        <f>'入力画面'!K39</f>
        <v>180</v>
      </c>
      <c r="M671" s="9" t="s">
        <v>617</v>
      </c>
    </row>
    <row r="672" spans="2:13" ht="18" customHeight="1">
      <c r="B672" s="104">
        <f t="shared" si="17"/>
        <v>0.9359999999999999</v>
      </c>
      <c r="C672" s="24">
        <f t="shared" si="15"/>
        <v>117</v>
      </c>
      <c r="D672" s="24">
        <f t="shared" si="18"/>
        <v>10.18</v>
      </c>
      <c r="E672" s="24">
        <f t="shared" si="19"/>
        <v>1.55</v>
      </c>
      <c r="F672" s="24">
        <f t="shared" si="20"/>
        <v>11.73</v>
      </c>
      <c r="G672" s="24">
        <f t="shared" si="16"/>
        <v>640.2</v>
      </c>
      <c r="H672" s="32">
        <f t="shared" si="21"/>
        <v>300</v>
      </c>
      <c r="K672" s="9" t="s">
        <v>618</v>
      </c>
      <c r="L672" s="9" t="str">
        <f>M73</f>
        <v>D16@125</v>
      </c>
      <c r="M672" s="9" t="s">
        <v>630</v>
      </c>
    </row>
    <row r="673" spans="2:8" ht="18" customHeight="1">
      <c r="B673" s="104">
        <f t="shared" si="17"/>
        <v>1.04</v>
      </c>
      <c r="C673" s="24">
        <f t="shared" si="15"/>
        <v>124</v>
      </c>
      <c r="D673" s="24">
        <f t="shared" si="18"/>
        <v>10.7</v>
      </c>
      <c r="E673" s="24">
        <f t="shared" si="19"/>
        <v>2.13</v>
      </c>
      <c r="F673" s="24">
        <f t="shared" si="20"/>
        <v>12.829999999999998</v>
      </c>
      <c r="G673" s="24">
        <f t="shared" si="16"/>
        <v>660.7</v>
      </c>
      <c r="H673" s="32">
        <f t="shared" si="21"/>
        <v>300</v>
      </c>
    </row>
    <row r="674" spans="2:8" ht="18" customHeight="1">
      <c r="B674" s="104">
        <f t="shared" si="17"/>
        <v>1.1440000000000001</v>
      </c>
      <c r="C674" s="24">
        <f t="shared" si="15"/>
        <v>130</v>
      </c>
      <c r="D674" s="24">
        <f t="shared" si="18"/>
        <v>11.22</v>
      </c>
      <c r="E674" s="24">
        <f t="shared" si="19"/>
        <v>2.84</v>
      </c>
      <c r="F674" s="24">
        <f t="shared" si="20"/>
        <v>14.06</v>
      </c>
      <c r="G674" s="24">
        <f t="shared" si="16"/>
        <v>690.6</v>
      </c>
      <c r="H674" s="32">
        <f t="shared" si="21"/>
        <v>288</v>
      </c>
    </row>
    <row r="675" spans="2:8" ht="18" customHeight="1">
      <c r="B675" s="104">
        <f t="shared" si="17"/>
        <v>1.2480000000000002</v>
      </c>
      <c r="C675" s="24">
        <f t="shared" si="15"/>
        <v>137</v>
      </c>
      <c r="D675" s="24">
        <f t="shared" si="18"/>
        <v>11.74</v>
      </c>
      <c r="E675" s="24">
        <f t="shared" si="19"/>
        <v>3.68</v>
      </c>
      <c r="F675" s="24">
        <f t="shared" si="20"/>
        <v>15.42</v>
      </c>
      <c r="G675" s="24">
        <f t="shared" si="16"/>
        <v>718.7</v>
      </c>
      <c r="H675" s="32">
        <f t="shared" si="21"/>
        <v>276</v>
      </c>
    </row>
    <row r="676" spans="2:8" ht="18" customHeight="1">
      <c r="B676" s="104">
        <f t="shared" si="17"/>
        <v>1.3520000000000003</v>
      </c>
      <c r="C676" s="24">
        <f t="shared" si="15"/>
        <v>144</v>
      </c>
      <c r="D676" s="24">
        <f>ROUND($L$661*($L$662+B676),2)</f>
        <v>12.26</v>
      </c>
      <c r="E676" s="24">
        <f t="shared" si="19"/>
        <v>4.68</v>
      </c>
      <c r="F676" s="24">
        <f t="shared" si="20"/>
        <v>16.939999999999998</v>
      </c>
      <c r="G676" s="24">
        <f t="shared" si="16"/>
        <v>751.2</v>
      </c>
      <c r="H676" s="32">
        <f t="shared" si="21"/>
        <v>264</v>
      </c>
    </row>
    <row r="677" spans="2:8" ht="18" customHeight="1">
      <c r="B677" s="104">
        <f t="shared" si="17"/>
        <v>1.4560000000000004</v>
      </c>
      <c r="C677" s="24">
        <f t="shared" si="15"/>
        <v>150</v>
      </c>
      <c r="D677" s="24">
        <f t="shared" si="18"/>
        <v>12.78</v>
      </c>
      <c r="E677" s="24">
        <f t="shared" si="19"/>
        <v>5.85</v>
      </c>
      <c r="F677" s="24">
        <f t="shared" si="20"/>
        <v>18.63</v>
      </c>
      <c r="G677" s="24">
        <f t="shared" si="16"/>
        <v>793.1</v>
      </c>
      <c r="H677" s="32">
        <f t="shared" si="21"/>
        <v>250</v>
      </c>
    </row>
    <row r="678" spans="2:8" ht="18" customHeight="1">
      <c r="B678" s="104">
        <f t="shared" si="17"/>
        <v>1.5600000000000005</v>
      </c>
      <c r="C678" s="24">
        <f t="shared" si="15"/>
        <v>157</v>
      </c>
      <c r="D678" s="24">
        <f t="shared" si="18"/>
        <v>13.3</v>
      </c>
      <c r="E678" s="24">
        <f t="shared" si="19"/>
        <v>7.19</v>
      </c>
      <c r="F678" s="24">
        <f t="shared" si="20"/>
        <v>20.490000000000002</v>
      </c>
      <c r="G678" s="24">
        <f t="shared" si="16"/>
        <v>833.4</v>
      </c>
      <c r="H678" s="32">
        <f t="shared" si="21"/>
        <v>238</v>
      </c>
    </row>
    <row r="679" spans="2:8" ht="18" customHeight="1">
      <c r="B679" s="104">
        <f t="shared" si="17"/>
        <v>1.6640000000000006</v>
      </c>
      <c r="C679" s="24">
        <f t="shared" si="15"/>
        <v>163</v>
      </c>
      <c r="D679" s="24">
        <f t="shared" si="18"/>
        <v>13.82</v>
      </c>
      <c r="E679" s="24">
        <f t="shared" si="19"/>
        <v>8.72</v>
      </c>
      <c r="F679" s="24">
        <f>D679+E679</f>
        <v>22.54</v>
      </c>
      <c r="G679" s="24">
        <f t="shared" si="16"/>
        <v>883</v>
      </c>
      <c r="H679" s="32">
        <f t="shared" si="21"/>
        <v>225</v>
      </c>
    </row>
    <row r="680" spans="2:8" ht="18" customHeight="1">
      <c r="B680" s="104">
        <f t="shared" si="17"/>
        <v>1.7680000000000007</v>
      </c>
      <c r="C680" s="24">
        <f t="shared" si="15"/>
        <v>170</v>
      </c>
      <c r="D680" s="24">
        <f t="shared" si="18"/>
        <v>14.34</v>
      </c>
      <c r="E680" s="24">
        <f>ROUND(0.5*$L$663*$L$665*B680^2+1/6*$L$665*$L$669*B680^3,2)</f>
        <v>10.47</v>
      </c>
      <c r="F680" s="24">
        <f t="shared" si="20"/>
        <v>24.810000000000002</v>
      </c>
      <c r="G680" s="24">
        <f t="shared" si="16"/>
        <v>931.9</v>
      </c>
      <c r="H680" s="32">
        <f t="shared" si="21"/>
        <v>213</v>
      </c>
    </row>
    <row r="681" spans="2:8" ht="18" customHeight="1">
      <c r="B681" s="104">
        <f t="shared" si="17"/>
        <v>1.8720000000000008</v>
      </c>
      <c r="C681" s="24">
        <f t="shared" si="15"/>
        <v>177</v>
      </c>
      <c r="D681" s="24">
        <f t="shared" si="18"/>
        <v>14.86</v>
      </c>
      <c r="E681" s="24">
        <f t="shared" si="19"/>
        <v>12.42</v>
      </c>
      <c r="F681" s="24">
        <f t="shared" si="20"/>
        <v>27.28</v>
      </c>
      <c r="G681" s="24">
        <f t="shared" si="16"/>
        <v>984.2</v>
      </c>
      <c r="H681" s="32">
        <f t="shared" si="21"/>
        <v>202</v>
      </c>
    </row>
    <row r="682" spans="2:8" ht="18" customHeight="1">
      <c r="B682" s="104">
        <f t="shared" si="17"/>
        <v>1.9760000000000009</v>
      </c>
      <c r="C682" s="24">
        <f t="shared" si="15"/>
        <v>183</v>
      </c>
      <c r="D682" s="24">
        <f t="shared" si="18"/>
        <v>15.38</v>
      </c>
      <c r="E682" s="24">
        <f t="shared" si="19"/>
        <v>14.61</v>
      </c>
      <c r="F682" s="24">
        <f t="shared" si="20"/>
        <v>29.990000000000002</v>
      </c>
      <c r="G682" s="24">
        <f t="shared" si="16"/>
        <v>1046.5</v>
      </c>
      <c r="H682" s="32">
        <f t="shared" si="21"/>
        <v>190</v>
      </c>
    </row>
    <row r="683" spans="2:8" ht="18" customHeight="1">
      <c r="B683" s="105">
        <f t="shared" si="17"/>
        <v>2.080000000000001</v>
      </c>
      <c r="C683" s="33">
        <f t="shared" si="15"/>
        <v>190</v>
      </c>
      <c r="D683" s="33">
        <f t="shared" si="18"/>
        <v>15.9</v>
      </c>
      <c r="E683" s="33">
        <f t="shared" si="19"/>
        <v>17.04</v>
      </c>
      <c r="F683" s="33">
        <f t="shared" si="20"/>
        <v>32.94</v>
      </c>
      <c r="G683" s="33">
        <f t="shared" si="16"/>
        <v>1107.1</v>
      </c>
      <c r="H683" s="34">
        <f>MIN(IF(F683=0,"***",ROUND($L$660/G683*1000,0)),300)</f>
        <v>179</v>
      </c>
    </row>
    <row r="684" spans="2:8" ht="18" customHeight="1">
      <c r="B684" s="11"/>
      <c r="C684" s="11"/>
      <c r="D684" s="11"/>
      <c r="E684" s="11"/>
      <c r="F684" s="11"/>
      <c r="G684" s="11"/>
      <c r="H684" s="11"/>
    </row>
    <row r="688" ht="18" customHeight="1">
      <c r="C688" s="107" t="str">
        <f>"使用鉄筋径は"&amp;データ!C32</f>
        <v>使用鉄筋径はD16</v>
      </c>
    </row>
    <row r="698" ht="18" customHeight="1">
      <c r="J698" s="14"/>
    </row>
    <row r="699" spans="4:10" ht="18" customHeight="1">
      <c r="D699" s="106"/>
      <c r="E699" s="107"/>
      <c r="F699" s="107"/>
      <c r="G699" s="107"/>
      <c r="H699" s="14"/>
      <c r="I699" s="14"/>
      <c r="J699" s="14"/>
    </row>
    <row r="700" spans="4:10" ht="18" customHeight="1">
      <c r="D700" s="106"/>
      <c r="F700" s="107"/>
      <c r="G700" s="107"/>
      <c r="H700" s="14"/>
      <c r="I700" s="14"/>
      <c r="J700" s="14"/>
    </row>
    <row r="701" spans="4:10" ht="18" customHeight="1">
      <c r="D701" s="106"/>
      <c r="E701" s="107"/>
      <c r="F701" s="107"/>
      <c r="G701" s="107"/>
      <c r="H701" s="14"/>
      <c r="I701" s="14"/>
      <c r="J701" s="14"/>
    </row>
    <row r="702" spans="4:9" ht="18" customHeight="1">
      <c r="D702" s="106"/>
      <c r="E702" s="107"/>
      <c r="F702" s="107"/>
      <c r="G702" s="107"/>
      <c r="H702" s="14"/>
      <c r="I702" s="14"/>
    </row>
    <row r="703" ht="18" customHeight="1">
      <c r="A703" s="9" t="s">
        <v>632</v>
      </c>
    </row>
    <row r="724" ht="18" customHeight="1">
      <c r="A724" s="9" t="s">
        <v>635</v>
      </c>
    </row>
    <row r="725" spans="2:13" ht="18" customHeight="1">
      <c r="B725" s="9" t="s">
        <v>636</v>
      </c>
      <c r="K725" s="9" t="s">
        <v>17</v>
      </c>
      <c r="L725" s="100">
        <f>H33</f>
        <v>0.22</v>
      </c>
      <c r="M725" s="9" t="s">
        <v>71</v>
      </c>
    </row>
    <row r="726" spans="2:13" ht="18" customHeight="1">
      <c r="B726" s="9" t="s">
        <v>639</v>
      </c>
      <c r="K726" s="9" t="s">
        <v>130</v>
      </c>
      <c r="L726" s="100">
        <f>H34</f>
        <v>0.2</v>
      </c>
      <c r="M726" s="9" t="s">
        <v>71</v>
      </c>
    </row>
    <row r="727" spans="3:13" ht="18" customHeight="1">
      <c r="C727" s="130" t="s">
        <v>637</v>
      </c>
      <c r="D727" s="91" t="s">
        <v>641</v>
      </c>
      <c r="E727" s="131" t="s">
        <v>640</v>
      </c>
      <c r="K727" s="9" t="s">
        <v>131</v>
      </c>
      <c r="L727" s="100">
        <f>H35</f>
        <v>1.3800000000000001</v>
      </c>
      <c r="M727" s="9" t="s">
        <v>655</v>
      </c>
    </row>
    <row r="728" spans="3:13" ht="18" customHeight="1">
      <c r="C728" s="130"/>
      <c r="D728" s="92" t="s">
        <v>638</v>
      </c>
      <c r="E728" s="131"/>
      <c r="K728" s="9" t="s">
        <v>132</v>
      </c>
      <c r="L728" s="100">
        <f>H36</f>
        <v>0.3</v>
      </c>
      <c r="M728" s="9" t="s">
        <v>655</v>
      </c>
    </row>
    <row r="729" spans="3:6" ht="18" customHeight="1">
      <c r="C729" s="130" t="s">
        <v>637</v>
      </c>
      <c r="D729" s="132">
        <f>O564</f>
        <v>32.86</v>
      </c>
      <c r="E729" s="133"/>
      <c r="F729" s="131" t="s">
        <v>640</v>
      </c>
    </row>
    <row r="730" spans="3:6" ht="18" customHeight="1">
      <c r="C730" s="130"/>
      <c r="D730" s="134" t="str">
        <f>"("&amp;L727&amp;"+"&amp;L728&amp;")^2"</f>
        <v>(1.38+0.3)^2</v>
      </c>
      <c r="E730" s="134"/>
      <c r="F730" s="131"/>
    </row>
    <row r="732" ht="18" customHeight="1">
      <c r="A732" s="9" t="s">
        <v>642</v>
      </c>
    </row>
    <row r="733" ht="18" customHeight="1">
      <c r="B733" s="9" t="s">
        <v>570</v>
      </c>
    </row>
    <row r="734" ht="18" customHeight="1">
      <c r="B734" s="9" t="s">
        <v>643</v>
      </c>
    </row>
    <row r="735" ht="18" customHeight="1">
      <c r="C735" s="9" t="s">
        <v>645</v>
      </c>
    </row>
    <row r="736" ht="18" customHeight="1">
      <c r="B736" s="9" t="s">
        <v>644</v>
      </c>
    </row>
    <row r="737" ht="18" customHeight="1">
      <c r="C737" s="9" t="s">
        <v>646</v>
      </c>
    </row>
    <row r="739" ht="18" customHeight="1">
      <c r="A739" s="9" t="s">
        <v>573</v>
      </c>
    </row>
    <row r="740" ht="18" customHeight="1">
      <c r="B740" s="9" t="s">
        <v>574</v>
      </c>
    </row>
    <row r="741" spans="3:5" ht="18" customHeight="1">
      <c r="C741" s="135" t="s">
        <v>575</v>
      </c>
      <c r="D741" s="132" t="s">
        <v>647</v>
      </c>
      <c r="E741" s="132"/>
    </row>
    <row r="742" spans="3:5" ht="18" customHeight="1">
      <c r="C742" s="135"/>
      <c r="D742" s="134" t="s">
        <v>648</v>
      </c>
      <c r="E742" s="134"/>
    </row>
    <row r="743" ht="18" customHeight="1">
      <c r="B743" s="9" t="s">
        <v>649</v>
      </c>
    </row>
    <row r="744" spans="3:4" ht="18" customHeight="1">
      <c r="C744" s="10" t="s">
        <v>578</v>
      </c>
      <c r="D744" s="9">
        <f>Q574</f>
        <v>0.87</v>
      </c>
    </row>
    <row r="745" ht="18" customHeight="1">
      <c r="B745" s="9" t="s">
        <v>579</v>
      </c>
    </row>
    <row r="746" ht="18" customHeight="1">
      <c r="B746" s="9" t="s">
        <v>580</v>
      </c>
    </row>
    <row r="747" spans="3:5" ht="18" customHeight="1">
      <c r="C747" s="135" t="s">
        <v>581</v>
      </c>
      <c r="D747" s="91" t="s">
        <v>582</v>
      </c>
      <c r="E747" s="131" t="s">
        <v>634</v>
      </c>
    </row>
    <row r="748" spans="3:5" ht="18" customHeight="1">
      <c r="C748" s="135"/>
      <c r="D748" s="92" t="s">
        <v>583</v>
      </c>
      <c r="E748" s="131"/>
    </row>
    <row r="749" spans="3:4" ht="18" customHeight="1">
      <c r="C749" s="10"/>
      <c r="D749" s="43"/>
    </row>
    <row r="750" ht="18" customHeight="1">
      <c r="A750" s="9" t="s">
        <v>631</v>
      </c>
    </row>
    <row r="751" ht="18" customHeight="1">
      <c r="B751" s="9" t="str">
        <f>K727&amp;L727&amp;M727&amp;K728&amp;L728&amp;M728&amp;K756&amp;L756&amp;M756&amp;K754&amp;L754&amp;M754&amp;K755&amp;L755&amp;M755&amp;K757&amp;L757&amp;M757</f>
        <v>B3=1.38m　，B4=0.3m　，H1=220mm　，th=100mm　，iw=30mm　，Aso=198.6mm2</v>
      </c>
    </row>
    <row r="753" spans="2:6" ht="18" customHeight="1">
      <c r="B753" s="102" t="s">
        <v>161</v>
      </c>
      <c r="C753" s="35" t="s">
        <v>651</v>
      </c>
      <c r="D753" s="35" t="s">
        <v>647</v>
      </c>
      <c r="E753" s="35" t="s">
        <v>615</v>
      </c>
      <c r="F753" s="103" t="s">
        <v>619</v>
      </c>
    </row>
    <row r="754" spans="2:13" ht="18" customHeight="1">
      <c r="B754" s="51" t="s">
        <v>620</v>
      </c>
      <c r="C754" s="33" t="s">
        <v>621</v>
      </c>
      <c r="D754" s="33" t="s">
        <v>623</v>
      </c>
      <c r="E754" s="33" t="s">
        <v>624</v>
      </c>
      <c r="F754" s="34" t="s">
        <v>621</v>
      </c>
      <c r="K754" s="9" t="s">
        <v>19</v>
      </c>
      <c r="L754" s="9">
        <f>H38*1000</f>
        <v>100</v>
      </c>
      <c r="M754" s="9" t="s">
        <v>656</v>
      </c>
    </row>
    <row r="755" spans="2:13" ht="18" customHeight="1">
      <c r="B755" s="11">
        <f>0</f>
        <v>0</v>
      </c>
      <c r="C755" s="24">
        <f>ROUND(IF(B755&lt;=$L$728,$L$754-$L$755,$L$754+($L$756-$L$754)*(B755-$L$728)/$L$727-$L$755),0)</f>
        <v>70</v>
      </c>
      <c r="D755" s="11">
        <f aca="true" t="shared" si="22" ref="D755:D775">ROUND($D$729/($L$727+$L$728)^2*B755^2,2)</f>
        <v>0</v>
      </c>
      <c r="E755" s="24">
        <f aca="true" t="shared" si="23" ref="E755:E775">ROUND(D755*1000000/($L$671*$D$744*C755),1)</f>
        <v>0</v>
      </c>
      <c r="F755" s="32">
        <f>IF(B755=0,300,MIN(300,ROUND($L$757/E755*1000,0)))</f>
        <v>300</v>
      </c>
      <c r="K755" s="9" t="s">
        <v>652</v>
      </c>
      <c r="L755" s="9">
        <f>F79</f>
        <v>30</v>
      </c>
      <c r="M755" s="9" t="s">
        <v>656</v>
      </c>
    </row>
    <row r="756" spans="2:13" ht="18" customHeight="1">
      <c r="B756" s="11">
        <f>B755+($L$727+$L$728)/20</f>
        <v>0.084</v>
      </c>
      <c r="C756" s="24">
        <f aca="true" t="shared" si="24" ref="C756:C775">ROUND(IF(B756&lt;=$L$728,$L$754-$L$755,$L$754+($L$756-$L$754)*(B756-$L$728)/$L$727-$L$755),0)</f>
        <v>70</v>
      </c>
      <c r="D756" s="11">
        <f t="shared" si="22"/>
        <v>0.08</v>
      </c>
      <c r="E756" s="24">
        <f t="shared" si="23"/>
        <v>7.3</v>
      </c>
      <c r="F756" s="32">
        <f aca="true" t="shared" si="25" ref="F756:F774">IF(B756=0,300,MIN(300,ROUND($L$757/E756*1000,0)))</f>
        <v>300</v>
      </c>
      <c r="K756" s="9" t="s">
        <v>15</v>
      </c>
      <c r="L756" s="9">
        <f>H28*1000</f>
        <v>220</v>
      </c>
      <c r="M756" s="9" t="s">
        <v>656</v>
      </c>
    </row>
    <row r="757" spans="2:13" ht="18" customHeight="1">
      <c r="B757" s="11">
        <f aca="true" t="shared" si="26" ref="B757:B775">B756+($L$727+$L$728)/20</f>
        <v>0.168</v>
      </c>
      <c r="C757" s="24">
        <f t="shared" si="24"/>
        <v>70</v>
      </c>
      <c r="D757" s="11">
        <f t="shared" si="22"/>
        <v>0.33</v>
      </c>
      <c r="E757" s="24">
        <f t="shared" si="23"/>
        <v>30.1</v>
      </c>
      <c r="F757" s="32">
        <f t="shared" si="25"/>
        <v>300</v>
      </c>
      <c r="K757" s="9" t="s">
        <v>653</v>
      </c>
      <c r="L757" s="9">
        <f>D572</f>
        <v>198.6</v>
      </c>
      <c r="M757" s="9" t="s">
        <v>654</v>
      </c>
    </row>
    <row r="758" spans="2:6" ht="18" customHeight="1">
      <c r="B758" s="11">
        <f t="shared" si="26"/>
        <v>0.252</v>
      </c>
      <c r="C758" s="24">
        <f t="shared" si="24"/>
        <v>70</v>
      </c>
      <c r="D758" s="11">
        <f t="shared" si="22"/>
        <v>0.74</v>
      </c>
      <c r="E758" s="24">
        <f t="shared" si="23"/>
        <v>67.5</v>
      </c>
      <c r="F758" s="32">
        <f t="shared" si="25"/>
        <v>300</v>
      </c>
    </row>
    <row r="759" spans="2:11" ht="18" customHeight="1">
      <c r="B759" s="11">
        <f t="shared" si="26"/>
        <v>0.336</v>
      </c>
      <c r="C759" s="24">
        <f t="shared" si="24"/>
        <v>73</v>
      </c>
      <c r="D759" s="11">
        <f t="shared" si="22"/>
        <v>1.31</v>
      </c>
      <c r="E759" s="24">
        <f t="shared" si="23"/>
        <v>114.6</v>
      </c>
      <c r="F759" s="32">
        <f t="shared" si="25"/>
        <v>300</v>
      </c>
      <c r="K759" s="9" t="str">
        <f>M74</f>
        <v>D16@125</v>
      </c>
    </row>
    <row r="760" spans="2:6" ht="18" customHeight="1">
      <c r="B760" s="11">
        <f t="shared" si="26"/>
        <v>0.42000000000000004</v>
      </c>
      <c r="C760" s="24">
        <f t="shared" si="24"/>
        <v>80</v>
      </c>
      <c r="D760" s="11">
        <f t="shared" si="22"/>
        <v>2.05</v>
      </c>
      <c r="E760" s="24">
        <f t="shared" si="23"/>
        <v>163.6</v>
      </c>
      <c r="F760" s="32">
        <f t="shared" si="25"/>
        <v>300</v>
      </c>
    </row>
    <row r="761" spans="2:6" ht="18" customHeight="1">
      <c r="B761" s="11">
        <f t="shared" si="26"/>
        <v>0.504</v>
      </c>
      <c r="C761" s="24">
        <f t="shared" si="24"/>
        <v>88</v>
      </c>
      <c r="D761" s="11">
        <f t="shared" si="22"/>
        <v>2.96</v>
      </c>
      <c r="E761" s="24">
        <f t="shared" si="23"/>
        <v>214.8</v>
      </c>
      <c r="F761" s="32">
        <f t="shared" si="25"/>
        <v>300</v>
      </c>
    </row>
    <row r="762" spans="2:6" ht="18" customHeight="1">
      <c r="B762" s="11">
        <f t="shared" si="26"/>
        <v>0.588</v>
      </c>
      <c r="C762" s="24">
        <f t="shared" si="24"/>
        <v>95</v>
      </c>
      <c r="D762" s="11">
        <f t="shared" si="22"/>
        <v>4.03</v>
      </c>
      <c r="E762" s="24">
        <f t="shared" si="23"/>
        <v>270.9</v>
      </c>
      <c r="F762" s="32">
        <f t="shared" si="25"/>
        <v>300</v>
      </c>
    </row>
    <row r="763" spans="2:6" ht="18" customHeight="1">
      <c r="B763" s="11">
        <f t="shared" si="26"/>
        <v>0.6719999999999999</v>
      </c>
      <c r="C763" s="24">
        <f t="shared" si="24"/>
        <v>102</v>
      </c>
      <c r="D763" s="11">
        <f t="shared" si="22"/>
        <v>5.26</v>
      </c>
      <c r="E763" s="24">
        <f t="shared" si="23"/>
        <v>329.3</v>
      </c>
      <c r="F763" s="32">
        <f t="shared" si="25"/>
        <v>300</v>
      </c>
    </row>
    <row r="764" spans="2:6" ht="18" customHeight="1">
      <c r="B764" s="11">
        <f t="shared" si="26"/>
        <v>0.7559999999999999</v>
      </c>
      <c r="C764" s="24">
        <f t="shared" si="24"/>
        <v>110</v>
      </c>
      <c r="D764" s="11">
        <f t="shared" si="22"/>
        <v>6.65</v>
      </c>
      <c r="E764" s="24">
        <f t="shared" si="23"/>
        <v>386</v>
      </c>
      <c r="F764" s="32">
        <f t="shared" si="25"/>
        <v>300</v>
      </c>
    </row>
    <row r="765" spans="2:6" ht="18" customHeight="1">
      <c r="B765" s="11">
        <f t="shared" si="26"/>
        <v>0.8399999999999999</v>
      </c>
      <c r="C765" s="24">
        <f t="shared" si="24"/>
        <v>117</v>
      </c>
      <c r="D765" s="11">
        <f t="shared" si="22"/>
        <v>8.22</v>
      </c>
      <c r="E765" s="24">
        <f t="shared" si="23"/>
        <v>448.6</v>
      </c>
      <c r="F765" s="32">
        <f t="shared" si="25"/>
        <v>300</v>
      </c>
    </row>
    <row r="766" spans="2:6" ht="18" customHeight="1">
      <c r="B766" s="11">
        <f t="shared" si="26"/>
        <v>0.9239999999999998</v>
      </c>
      <c r="C766" s="24">
        <f t="shared" si="24"/>
        <v>124</v>
      </c>
      <c r="D766" s="11">
        <f t="shared" si="22"/>
        <v>9.94</v>
      </c>
      <c r="E766" s="24">
        <f t="shared" si="23"/>
        <v>511.9</v>
      </c>
      <c r="F766" s="32">
        <f t="shared" si="25"/>
        <v>300</v>
      </c>
    </row>
    <row r="767" spans="2:6" ht="18" customHeight="1">
      <c r="B767" s="11">
        <f t="shared" si="26"/>
        <v>1.0079999999999998</v>
      </c>
      <c r="C767" s="24">
        <f t="shared" si="24"/>
        <v>132</v>
      </c>
      <c r="D767" s="11">
        <f t="shared" si="22"/>
        <v>11.83</v>
      </c>
      <c r="E767" s="24">
        <f t="shared" si="23"/>
        <v>572.3</v>
      </c>
      <c r="F767" s="32">
        <f t="shared" si="25"/>
        <v>300</v>
      </c>
    </row>
    <row r="768" spans="2:6" ht="18" customHeight="1">
      <c r="B768" s="11">
        <f>B767+($L$727+$L$728)/20</f>
        <v>1.0919999999999999</v>
      </c>
      <c r="C768" s="24">
        <f t="shared" si="24"/>
        <v>139</v>
      </c>
      <c r="D768" s="11">
        <f t="shared" si="22"/>
        <v>13.88</v>
      </c>
      <c r="E768" s="24">
        <f t="shared" si="23"/>
        <v>637.7</v>
      </c>
      <c r="F768" s="32">
        <f t="shared" si="25"/>
        <v>300</v>
      </c>
    </row>
    <row r="769" spans="2:6" ht="18" customHeight="1">
      <c r="B769" s="11">
        <f t="shared" si="26"/>
        <v>1.176</v>
      </c>
      <c r="C769" s="24">
        <f t="shared" si="24"/>
        <v>146</v>
      </c>
      <c r="D769" s="11">
        <f t="shared" si="22"/>
        <v>16.1</v>
      </c>
      <c r="E769" s="24">
        <f t="shared" si="23"/>
        <v>704.2</v>
      </c>
      <c r="F769" s="32">
        <f t="shared" si="25"/>
        <v>282</v>
      </c>
    </row>
    <row r="770" spans="2:6" ht="18" customHeight="1">
      <c r="B770" s="11">
        <f t="shared" si="26"/>
        <v>1.26</v>
      </c>
      <c r="C770" s="24">
        <f t="shared" si="24"/>
        <v>153</v>
      </c>
      <c r="D770" s="11">
        <f t="shared" si="22"/>
        <v>18.48</v>
      </c>
      <c r="E770" s="24">
        <f t="shared" si="23"/>
        <v>771.3</v>
      </c>
      <c r="F770" s="32">
        <f t="shared" si="25"/>
        <v>257</v>
      </c>
    </row>
    <row r="771" spans="2:6" ht="18" customHeight="1">
      <c r="B771" s="11">
        <f t="shared" si="26"/>
        <v>1.344</v>
      </c>
      <c r="C771" s="24">
        <f t="shared" si="24"/>
        <v>161</v>
      </c>
      <c r="D771" s="11">
        <f t="shared" si="22"/>
        <v>21.03</v>
      </c>
      <c r="E771" s="24">
        <f t="shared" si="23"/>
        <v>834.1</v>
      </c>
      <c r="F771" s="32">
        <f t="shared" si="25"/>
        <v>238</v>
      </c>
    </row>
    <row r="772" spans="2:6" ht="18" customHeight="1">
      <c r="B772" s="11">
        <f t="shared" si="26"/>
        <v>1.4280000000000002</v>
      </c>
      <c r="C772" s="24">
        <f t="shared" si="24"/>
        <v>168</v>
      </c>
      <c r="D772" s="11">
        <f t="shared" si="22"/>
        <v>23.74</v>
      </c>
      <c r="E772" s="24">
        <f t="shared" si="23"/>
        <v>902.4</v>
      </c>
      <c r="F772" s="32">
        <f t="shared" si="25"/>
        <v>220</v>
      </c>
    </row>
    <row r="773" spans="2:6" ht="18" customHeight="1">
      <c r="B773" s="11">
        <f t="shared" si="26"/>
        <v>1.5120000000000002</v>
      </c>
      <c r="C773" s="24">
        <f t="shared" si="24"/>
        <v>175</v>
      </c>
      <c r="D773" s="11">
        <f t="shared" si="22"/>
        <v>26.62</v>
      </c>
      <c r="E773" s="24">
        <f t="shared" si="23"/>
        <v>971.4</v>
      </c>
      <c r="F773" s="32">
        <f t="shared" si="25"/>
        <v>204</v>
      </c>
    </row>
    <row r="774" spans="2:6" ht="18" customHeight="1">
      <c r="B774" s="11">
        <f t="shared" si="26"/>
        <v>1.5960000000000003</v>
      </c>
      <c r="C774" s="24">
        <f t="shared" si="24"/>
        <v>183</v>
      </c>
      <c r="D774" s="11">
        <f t="shared" si="22"/>
        <v>29.66</v>
      </c>
      <c r="E774" s="24">
        <f t="shared" si="23"/>
        <v>1035</v>
      </c>
      <c r="F774" s="32">
        <f t="shared" si="25"/>
        <v>192</v>
      </c>
    </row>
    <row r="775" spans="2:6" ht="18" customHeight="1">
      <c r="B775" s="91">
        <f t="shared" si="26"/>
        <v>1.6800000000000004</v>
      </c>
      <c r="C775" s="33">
        <f t="shared" si="24"/>
        <v>190</v>
      </c>
      <c r="D775" s="91">
        <f t="shared" si="22"/>
        <v>32.86</v>
      </c>
      <c r="E775" s="33">
        <f t="shared" si="23"/>
        <v>1104.4</v>
      </c>
      <c r="F775" s="34">
        <f>IF(B775=0,"***",MIN(300,ROUND($L$757/E775*1000,0)))</f>
        <v>180</v>
      </c>
    </row>
    <row r="788" ht="18" customHeight="1">
      <c r="E788" s="106" t="str">
        <f>"使用鉄筋径は"&amp;D79</f>
        <v>使用鉄筋径はD16</v>
      </c>
    </row>
  </sheetData>
  <mergeCells count="80">
    <mergeCell ref="F247:G248"/>
    <mergeCell ref="D297:E297"/>
    <mergeCell ref="D298:E298"/>
    <mergeCell ref="F297:G298"/>
    <mergeCell ref="B247:B248"/>
    <mergeCell ref="C247:E247"/>
    <mergeCell ref="C248:E248"/>
    <mergeCell ref="B245:B246"/>
    <mergeCell ref="C245:E245"/>
    <mergeCell ref="C246:E246"/>
    <mergeCell ref="F160:F161"/>
    <mergeCell ref="F245:G246"/>
    <mergeCell ref="B206:C206"/>
    <mergeCell ref="B302:B303"/>
    <mergeCell ref="G302:H302"/>
    <mergeCell ref="E302:F302"/>
    <mergeCell ref="B207:C207"/>
    <mergeCell ref="B208:C208"/>
    <mergeCell ref="B209:C209"/>
    <mergeCell ref="B210:C210"/>
    <mergeCell ref="G582:I583"/>
    <mergeCell ref="F194:F195"/>
    <mergeCell ref="D196:D197"/>
    <mergeCell ref="F196:F197"/>
    <mergeCell ref="D209:E209"/>
    <mergeCell ref="D210:E210"/>
    <mergeCell ref="D207:E207"/>
    <mergeCell ref="D194:D195"/>
    <mergeCell ref="D208:E208"/>
    <mergeCell ref="D206:E206"/>
    <mergeCell ref="G474:H475"/>
    <mergeCell ref="D475:F475"/>
    <mergeCell ref="D593:E593"/>
    <mergeCell ref="F592:H593"/>
    <mergeCell ref="D587:F587"/>
    <mergeCell ref="D588:F588"/>
    <mergeCell ref="G587:H588"/>
    <mergeCell ref="D592:E592"/>
    <mergeCell ref="D582:F582"/>
    <mergeCell ref="D583:F583"/>
    <mergeCell ref="F479:H480"/>
    <mergeCell ref="D480:E480"/>
    <mergeCell ref="E382:F382"/>
    <mergeCell ref="E383:F383"/>
    <mergeCell ref="G382:H383"/>
    <mergeCell ref="E387:F387"/>
    <mergeCell ref="E386:F386"/>
    <mergeCell ref="G386:I387"/>
    <mergeCell ref="D469:F469"/>
    <mergeCell ref="G469:I470"/>
    <mergeCell ref="C76:C77"/>
    <mergeCell ref="C642:C643"/>
    <mergeCell ref="D643:E643"/>
    <mergeCell ref="D642:E642"/>
    <mergeCell ref="D479:E479"/>
    <mergeCell ref="D470:F470"/>
    <mergeCell ref="D474:F474"/>
    <mergeCell ref="D158:D159"/>
    <mergeCell ref="F158:F159"/>
    <mergeCell ref="D160:D161"/>
    <mergeCell ref="C648:C649"/>
    <mergeCell ref="E648:E649"/>
    <mergeCell ref="C630:C631"/>
    <mergeCell ref="D630:E630"/>
    <mergeCell ref="D631:E631"/>
    <mergeCell ref="C741:C742"/>
    <mergeCell ref="D741:E741"/>
    <mergeCell ref="D742:E742"/>
    <mergeCell ref="C747:C748"/>
    <mergeCell ref="E747:E748"/>
    <mergeCell ref="D657:E657"/>
    <mergeCell ref="C727:C728"/>
    <mergeCell ref="E727:E728"/>
    <mergeCell ref="F729:F730"/>
    <mergeCell ref="C729:C730"/>
    <mergeCell ref="D729:E729"/>
    <mergeCell ref="D730:E730"/>
    <mergeCell ref="C656:C657"/>
    <mergeCell ref="D656:E656"/>
    <mergeCell ref="F656:F657"/>
  </mergeCells>
  <printOptions/>
  <pageMargins left="0.7874015748031497" right="0.7874015748031497" top="0.7874015748031497" bottom="0.7874015748031497" header="0.5118110236220472" footer="0.5118110236220472"/>
  <pageSetup horizontalDpi="600" verticalDpi="600" orientation="portrait" paperSize="9" r:id="rId10"/>
  <headerFooter alignWithMargins="0">
    <oddFooter>&amp;C&amp;P</oddFooter>
  </headerFooter>
  <rowBreaks count="22" manualBreakCount="22">
    <brk id="43" max="8" man="1"/>
    <brk id="83" max="8" man="1"/>
    <brk id="91" max="8" man="1"/>
    <brk id="131" max="8" man="1"/>
    <brk id="162" max="8" man="1"/>
    <brk id="203" max="8" man="1"/>
    <brk id="243" max="8" man="1"/>
    <brk id="266" max="8" man="1"/>
    <brk id="299" max="8" man="1"/>
    <brk id="336" max="8" man="1"/>
    <brk id="378" max="8" man="1"/>
    <brk id="419" max="8" man="1"/>
    <brk id="452" max="8" man="1"/>
    <brk id="482" max="8" man="1"/>
    <brk id="519" max="8" man="1"/>
    <brk id="553" max="8" man="1"/>
    <brk id="595" max="8" man="1"/>
    <brk id="632" max="8" man="1"/>
    <brk id="659" max="8" man="1"/>
    <brk id="702" max="8" man="1"/>
    <brk id="738" max="8" man="1"/>
    <brk id="776" max="8" man="1"/>
  </rowBreaks>
  <drawing r:id="rId9"/>
  <legacyDrawing r:id="rId8"/>
  <oleObjects>
    <oleObject progId="Equation.3" shapeId="1655916" r:id="rId1"/>
    <oleObject progId="Equation.3" shapeId="1686062" r:id="rId2"/>
    <oleObject progId="Equation.3" shapeId="1789143" r:id="rId3"/>
    <oleObject progId="Equation.3" shapeId="2446043" r:id="rId4"/>
    <oleObject progId="Equation.3" shapeId="2463034" r:id="rId5"/>
    <oleObject progId="Equation.3" shapeId="699590" r:id="rId6"/>
    <oleObject progId="Equation.3" shapeId="984967" r:id="rId7"/>
  </oleObjects>
</worksheet>
</file>

<file path=xl/worksheets/sheet3.xml><?xml version="1.0" encoding="utf-8"?>
<worksheet xmlns="http://schemas.openxmlformats.org/spreadsheetml/2006/main" xmlns:r="http://schemas.openxmlformats.org/officeDocument/2006/relationships">
  <dimension ref="A2:L94"/>
  <sheetViews>
    <sheetView workbookViewId="0" topLeftCell="A1">
      <selection activeCell="A3" sqref="A3"/>
    </sheetView>
  </sheetViews>
  <sheetFormatPr defaultColWidth="9.00390625" defaultRowHeight="13.5"/>
  <sheetData>
    <row r="2" ht="13.5">
      <c r="A2" t="s">
        <v>539</v>
      </c>
    </row>
    <row r="3" spans="3:11" ht="13.5">
      <c r="C3" s="9"/>
      <c r="D3" s="9"/>
      <c r="E3" s="9"/>
      <c r="F3" s="9"/>
      <c r="G3" s="9"/>
      <c r="H3" s="9"/>
      <c r="I3" s="9"/>
      <c r="J3" s="9"/>
      <c r="K3" s="9"/>
    </row>
    <row r="4" spans="3:11" ht="13.5">
      <c r="C4" s="20"/>
      <c r="D4" s="21" t="s">
        <v>353</v>
      </c>
      <c r="E4" s="21" t="s">
        <v>354</v>
      </c>
      <c r="F4" s="21" t="s">
        <v>356</v>
      </c>
      <c r="G4" s="21" t="s">
        <v>357</v>
      </c>
      <c r="H4" s="21" t="s">
        <v>358</v>
      </c>
      <c r="I4" s="22" t="s">
        <v>359</v>
      </c>
      <c r="J4" s="9"/>
      <c r="K4" s="9"/>
    </row>
    <row r="5" spans="3:11" ht="13.5">
      <c r="C5" s="23" t="s">
        <v>355</v>
      </c>
      <c r="D5" s="24">
        <f>'出力'!C189</f>
        <v>0.22</v>
      </c>
      <c r="E5" s="24">
        <f>'出力'!D189</f>
        <v>0.42000000000000004</v>
      </c>
      <c r="F5" s="24" t="s">
        <v>317</v>
      </c>
      <c r="G5" s="24" t="s">
        <v>317</v>
      </c>
      <c r="H5" s="24" t="s">
        <v>317</v>
      </c>
      <c r="I5" s="32" t="s">
        <v>317</v>
      </c>
      <c r="J5" s="9"/>
      <c r="K5" s="9"/>
    </row>
    <row r="6" spans="3:11" ht="13.5">
      <c r="C6" s="23" t="s">
        <v>351</v>
      </c>
      <c r="D6" s="24">
        <f>'出力'!C183</f>
        <v>0.1</v>
      </c>
      <c r="E6" s="24">
        <f>'出力'!D183</f>
        <v>2.5</v>
      </c>
      <c r="F6" s="24">
        <f>D6-D5</f>
        <v>-0.12</v>
      </c>
      <c r="G6" s="24">
        <f>E6-E5</f>
        <v>2.08</v>
      </c>
      <c r="H6" s="24">
        <f>ATAN(G6/F6)</f>
        <v>-1.5131678993174227</v>
      </c>
      <c r="I6" s="32">
        <f>H6*180/PI()</f>
        <v>-86.69813432556501</v>
      </c>
      <c r="J6" s="9"/>
      <c r="K6" s="9"/>
    </row>
    <row r="7" spans="3:11" ht="13.5">
      <c r="C7" s="51" t="s">
        <v>352</v>
      </c>
      <c r="D7" s="33">
        <f>'出力'!C184</f>
        <v>1.6</v>
      </c>
      <c r="E7" s="33">
        <f>'出力'!D184</f>
        <v>3.5</v>
      </c>
      <c r="F7" s="33">
        <f>D7-D5</f>
        <v>1.3800000000000001</v>
      </c>
      <c r="G7" s="33">
        <f>E7-E5</f>
        <v>3.08</v>
      </c>
      <c r="H7" s="33">
        <f>ATAN(G7/F7)</f>
        <v>1.1495635827056025</v>
      </c>
      <c r="I7" s="34">
        <f>H7*180/PI()</f>
        <v>65.86514157096917</v>
      </c>
      <c r="J7" s="9"/>
      <c r="K7" s="9"/>
    </row>
    <row r="8" spans="3:11" ht="13.5">
      <c r="C8" s="9"/>
      <c r="D8" s="9"/>
      <c r="E8" s="9"/>
      <c r="F8" s="9"/>
      <c r="G8" s="9"/>
      <c r="H8" s="9"/>
      <c r="I8" s="9"/>
      <c r="J8" s="9"/>
      <c r="K8" s="9"/>
    </row>
    <row r="9" spans="3:11" ht="13.5">
      <c r="C9" s="9" t="s">
        <v>360</v>
      </c>
      <c r="D9" s="9"/>
      <c r="E9" s="9"/>
      <c r="F9" s="9"/>
      <c r="G9" s="9"/>
      <c r="H9" s="9"/>
      <c r="I9" s="9"/>
      <c r="J9" s="9"/>
      <c r="K9" s="9"/>
    </row>
    <row r="10" spans="3:11" ht="13.5">
      <c r="C10" s="20"/>
      <c r="D10" s="21" t="s">
        <v>353</v>
      </c>
      <c r="E10" s="21" t="s">
        <v>354</v>
      </c>
      <c r="F10" s="22" t="s">
        <v>364</v>
      </c>
      <c r="G10" s="9"/>
      <c r="H10" s="9"/>
      <c r="I10" s="9"/>
      <c r="J10" s="9"/>
      <c r="K10" s="9"/>
    </row>
    <row r="11" spans="3:11" ht="13.5">
      <c r="C11" s="23" t="s">
        <v>361</v>
      </c>
      <c r="D11" s="24">
        <f>'出力'!C189</f>
        <v>0.22</v>
      </c>
      <c r="E11" s="24">
        <f>'出力'!D189</f>
        <v>0.42000000000000004</v>
      </c>
      <c r="F11" s="18">
        <f>1/2*(D12*E11-D11*E12)</f>
        <v>-0.23199999999999998</v>
      </c>
      <c r="G11" s="42"/>
      <c r="H11" s="9"/>
      <c r="I11" s="9"/>
      <c r="J11" s="9"/>
      <c r="K11" s="9"/>
    </row>
    <row r="12" spans="3:11" ht="13.5">
      <c r="C12" s="23" t="s">
        <v>362</v>
      </c>
      <c r="D12" s="24">
        <f>'出力'!C190</f>
        <v>0.1</v>
      </c>
      <c r="E12" s="24">
        <f>'出力'!D190</f>
        <v>2.3</v>
      </c>
      <c r="F12" s="18">
        <f>1/2*(D13*E12-D12*E13)</f>
        <v>-0.010000000000000009</v>
      </c>
      <c r="G12" s="42"/>
      <c r="H12" s="9"/>
      <c r="I12" s="9"/>
      <c r="J12" s="9"/>
      <c r="K12" s="9"/>
    </row>
    <row r="13" spans="3:11" ht="13.5">
      <c r="C13" s="23" t="s">
        <v>64</v>
      </c>
      <c r="D13" s="24">
        <f>'出力'!C191</f>
        <v>0.1</v>
      </c>
      <c r="E13" s="24">
        <f>'出力'!D191</f>
        <v>2.5</v>
      </c>
      <c r="F13" s="18">
        <f>1/2*(D14*E13-D13*E14)</f>
        <v>0</v>
      </c>
      <c r="G13" s="42"/>
      <c r="H13" s="9"/>
      <c r="I13" s="9"/>
      <c r="J13" s="9"/>
      <c r="K13" s="9"/>
    </row>
    <row r="14" spans="3:11" ht="13.5">
      <c r="C14" s="23" t="s">
        <v>363</v>
      </c>
      <c r="D14" s="24">
        <f>'出力'!C183</f>
        <v>0.1</v>
      </c>
      <c r="E14" s="24">
        <f>'出力'!D183</f>
        <v>2.5</v>
      </c>
      <c r="F14" s="18">
        <f>1/2*(D15*E14-D14*E15)</f>
        <v>0.254</v>
      </c>
      <c r="G14" s="42"/>
      <c r="H14" s="9"/>
      <c r="I14" s="9"/>
      <c r="J14" s="9"/>
      <c r="K14" s="9"/>
    </row>
    <row r="15" spans="3:11" ht="13.5">
      <c r="C15" s="23" t="s">
        <v>361</v>
      </c>
      <c r="D15" s="24">
        <f>D11</f>
        <v>0.22</v>
      </c>
      <c r="E15" s="24">
        <f>E11</f>
        <v>0.42000000000000004</v>
      </c>
      <c r="F15" s="32">
        <v>0</v>
      </c>
      <c r="G15" s="9"/>
      <c r="H15" s="9"/>
      <c r="I15" s="9"/>
      <c r="J15" s="9"/>
      <c r="K15" s="9"/>
    </row>
    <row r="16" spans="3:11" ht="13.5">
      <c r="C16" s="20" t="s">
        <v>316</v>
      </c>
      <c r="D16" s="21"/>
      <c r="E16" s="21"/>
      <c r="F16" s="28">
        <f>SUM(F11:F15)</f>
        <v>0.01200000000000001</v>
      </c>
      <c r="G16" s="9"/>
      <c r="H16" s="9"/>
      <c r="I16" s="9"/>
      <c r="J16" s="9"/>
      <c r="K16" s="9"/>
    </row>
    <row r="17" spans="3:11" ht="13.5">
      <c r="C17" s="9"/>
      <c r="D17" s="9"/>
      <c r="E17" s="9"/>
      <c r="F17" s="9"/>
      <c r="G17" s="9"/>
      <c r="H17" s="9"/>
      <c r="I17" s="9"/>
      <c r="J17" s="9"/>
      <c r="K17" s="9"/>
    </row>
    <row r="18" spans="3:11" ht="13.5">
      <c r="C18" s="9" t="s">
        <v>365</v>
      </c>
      <c r="D18" s="9"/>
      <c r="E18" s="9"/>
      <c r="F18" s="9"/>
      <c r="G18" s="9"/>
      <c r="H18" s="9"/>
      <c r="I18" s="9"/>
      <c r="J18" s="9"/>
      <c r="K18" s="9"/>
    </row>
    <row r="19" spans="3:11" ht="13.5">
      <c r="C19" s="20"/>
      <c r="D19" s="21" t="s">
        <v>353</v>
      </c>
      <c r="E19" s="21" t="s">
        <v>354</v>
      </c>
      <c r="F19" s="22" t="s">
        <v>364</v>
      </c>
      <c r="G19" s="9"/>
      <c r="H19" s="9"/>
      <c r="I19" s="9"/>
      <c r="J19" s="9"/>
      <c r="K19" s="9"/>
    </row>
    <row r="20" spans="3:11" ht="13.5">
      <c r="C20" s="23" t="s">
        <v>361</v>
      </c>
      <c r="D20" s="24">
        <f>D11</f>
        <v>0.22</v>
      </c>
      <c r="E20" s="24">
        <f>E11</f>
        <v>0.42000000000000004</v>
      </c>
      <c r="F20" s="18">
        <f>1/2*(D21*E20-D20*E21)</f>
        <v>-0.254</v>
      </c>
      <c r="G20" s="42"/>
      <c r="H20" s="9"/>
      <c r="I20" s="9"/>
      <c r="J20" s="9"/>
      <c r="K20" s="9"/>
    </row>
    <row r="21" spans="3:11" ht="13.5">
      <c r="C21" s="23" t="s">
        <v>363</v>
      </c>
      <c r="D21" s="24">
        <f>D14</f>
        <v>0.1</v>
      </c>
      <c r="E21" s="24">
        <f>E14</f>
        <v>2.5</v>
      </c>
      <c r="F21" s="18">
        <f>1/2*(D22*E21-D21*E22)</f>
        <v>1.825</v>
      </c>
      <c r="G21" s="42"/>
      <c r="H21" s="9"/>
      <c r="I21" s="9"/>
      <c r="J21" s="9"/>
      <c r="K21" s="9"/>
    </row>
    <row r="22" spans="3:11" ht="13.5">
      <c r="C22" s="23" t="s">
        <v>366</v>
      </c>
      <c r="D22" s="24">
        <f>'出力'!C184</f>
        <v>1.6</v>
      </c>
      <c r="E22" s="24">
        <f>'出力'!D184</f>
        <v>3.5</v>
      </c>
      <c r="F22" s="18">
        <f>1/2*(D23*E22-D22*E23)</f>
        <v>0.04899999999999993</v>
      </c>
      <c r="G22" s="42"/>
      <c r="H22" s="9"/>
      <c r="I22" s="9"/>
      <c r="J22" s="9"/>
      <c r="K22" s="9"/>
    </row>
    <row r="23" spans="3:11" ht="13.5">
      <c r="C23" s="23" t="s">
        <v>361</v>
      </c>
      <c r="D23" s="24">
        <f>D20</f>
        <v>0.22</v>
      </c>
      <c r="E23" s="24">
        <f>E20</f>
        <v>0.42000000000000004</v>
      </c>
      <c r="F23" s="18">
        <v>0</v>
      </c>
      <c r="G23" s="42"/>
      <c r="H23" s="9"/>
      <c r="I23" s="9"/>
      <c r="J23" s="9"/>
      <c r="K23" s="9"/>
    </row>
    <row r="24" spans="3:11" ht="13.5">
      <c r="C24" s="20" t="s">
        <v>316</v>
      </c>
      <c r="D24" s="21"/>
      <c r="E24" s="21"/>
      <c r="F24" s="28">
        <f>SUM(F20:F23)</f>
        <v>1.6199999999999999</v>
      </c>
      <c r="G24" s="9"/>
      <c r="H24" s="9"/>
      <c r="I24" s="9"/>
      <c r="J24" s="9"/>
      <c r="K24" s="9"/>
    </row>
    <row r="25" spans="3:11" ht="13.5">
      <c r="C25" s="9"/>
      <c r="D25" s="9"/>
      <c r="E25" s="9"/>
      <c r="F25" s="9"/>
      <c r="G25" s="9" t="s">
        <v>380</v>
      </c>
      <c r="H25" s="9">
        <f>J25*PI()/180</f>
        <v>0.5235987755982988</v>
      </c>
      <c r="I25" s="9" t="s">
        <v>378</v>
      </c>
      <c r="J25" s="9">
        <f>'入力画面'!E18</f>
        <v>30</v>
      </c>
      <c r="K25" s="9" t="s">
        <v>379</v>
      </c>
    </row>
    <row r="26" spans="3:11" ht="13.5">
      <c r="C26" s="42"/>
      <c r="D26" s="42"/>
      <c r="E26" s="42"/>
      <c r="F26" s="42"/>
      <c r="G26" s="9" t="s">
        <v>381</v>
      </c>
      <c r="H26" s="9">
        <f>J26*PI()/180</f>
        <v>0.3490658503988659</v>
      </c>
      <c r="I26" s="9" t="s">
        <v>378</v>
      </c>
      <c r="J26" s="9">
        <f>'入力画面'!E32</f>
        <v>20</v>
      </c>
      <c r="K26" s="9" t="s">
        <v>379</v>
      </c>
    </row>
    <row r="27" spans="3:11" ht="13.5">
      <c r="C27" s="9" t="s">
        <v>369</v>
      </c>
      <c r="D27" s="9">
        <f>D22</f>
        <v>1.6</v>
      </c>
      <c r="E27" s="43" t="s">
        <v>37</v>
      </c>
      <c r="F27" s="43"/>
      <c r="G27" s="9" t="s">
        <v>377</v>
      </c>
      <c r="H27" s="9">
        <f>ATAN((D11-D12)/(E12-E11))</f>
        <v>0.06374331253268707</v>
      </c>
      <c r="I27" s="9" t="s">
        <v>378</v>
      </c>
      <c r="J27" s="9">
        <f>H27*180/PI()</f>
        <v>3.6522227803063356</v>
      </c>
      <c r="K27" s="9" t="s">
        <v>379</v>
      </c>
    </row>
    <row r="28" spans="3:11" ht="13.5">
      <c r="C28" s="43" t="s">
        <v>370</v>
      </c>
      <c r="D28" s="43">
        <f>E22-E23</f>
        <v>3.08</v>
      </c>
      <c r="E28" s="43" t="s">
        <v>37</v>
      </c>
      <c r="F28" s="44"/>
      <c r="G28" s="9"/>
      <c r="H28" s="9"/>
      <c r="I28" s="9"/>
      <c r="J28" s="9"/>
      <c r="K28" s="9"/>
    </row>
    <row r="29" spans="2:11" ht="13.5">
      <c r="B29" s="54" t="s">
        <v>382</v>
      </c>
      <c r="C29" s="21" t="s">
        <v>367</v>
      </c>
      <c r="D29" s="21" t="s">
        <v>368</v>
      </c>
      <c r="E29" s="21" t="s">
        <v>371</v>
      </c>
      <c r="F29" s="55" t="s">
        <v>372</v>
      </c>
      <c r="G29" s="49" t="s">
        <v>373</v>
      </c>
      <c r="H29" s="49" t="s">
        <v>374</v>
      </c>
      <c r="I29" s="49" t="s">
        <v>375</v>
      </c>
      <c r="J29" s="50" t="s">
        <v>376</v>
      </c>
      <c r="K29" s="9"/>
    </row>
    <row r="30" spans="2:11" ht="13.5">
      <c r="B30" s="56">
        <f>J30</f>
        <v>0</v>
      </c>
      <c r="C30" s="24">
        <f>J25</f>
        <v>30</v>
      </c>
      <c r="D30" s="24">
        <f aca="true" t="shared" si="0" ref="D30:D50">C30*PI()/180</f>
        <v>0.5235987755982988</v>
      </c>
      <c r="E30" s="24">
        <f aca="true" t="shared" si="1" ref="E30:E50">$D$28/TAN(D30)+$D$20</f>
        <v>5.554716487312143</v>
      </c>
      <c r="F30" s="17">
        <f aca="true" t="shared" si="2" ref="F30:F50">E30-$D$22</f>
        <v>3.9547164873121425</v>
      </c>
      <c r="G30" s="29">
        <f aca="true" t="shared" si="3" ref="G30:G50">0.5*F30*$D$28</f>
        <v>6.0902633904606995</v>
      </c>
      <c r="H30" s="57">
        <f aca="true" t="shared" si="4" ref="H30:H50">$F$16+$F$24+G30</f>
        <v>7.722263390460699</v>
      </c>
      <c r="I30" s="29">
        <f>H30*'出力'!$D$48+'出力'!$E$65*F30</f>
        <v>186.2701692918747</v>
      </c>
      <c r="J30" s="46">
        <f aca="true" t="shared" si="5" ref="J30:J76">SIN(D30-$H$25)*I30/COS(D30-$H$25-$H$27-$H$26)</f>
        <v>0</v>
      </c>
      <c r="K30" s="9"/>
    </row>
    <row r="31" spans="2:11" ht="13.5">
      <c r="B31" s="56">
        <f aca="true" t="shared" si="6" ref="B31:B76">J31</f>
        <v>3.367620600145982</v>
      </c>
      <c r="C31" s="24">
        <f aca="true" t="shared" si="7" ref="C31:C50">C30+1</f>
        <v>31</v>
      </c>
      <c r="D31" s="24">
        <f t="shared" si="0"/>
        <v>0.5410520681182421</v>
      </c>
      <c r="E31" s="24">
        <f t="shared" si="1"/>
        <v>5.345980805639595</v>
      </c>
      <c r="F31" s="17">
        <f t="shared" si="2"/>
        <v>3.745980805639595</v>
      </c>
      <c r="G31" s="29">
        <f t="shared" si="3"/>
        <v>5.768810440684977</v>
      </c>
      <c r="H31" s="57">
        <f t="shared" si="4"/>
        <v>7.400810440684976</v>
      </c>
      <c r="I31" s="29">
        <f>H31*'出力'!$D$48+'出力'!$E$65*F31</f>
        <v>178.0752064294105</v>
      </c>
      <c r="J31" s="46">
        <f t="shared" si="5"/>
        <v>3.367620600145982</v>
      </c>
      <c r="K31" s="9"/>
    </row>
    <row r="32" spans="2:11" ht="13.5">
      <c r="B32" s="56">
        <f t="shared" si="6"/>
        <v>6.396194414548227</v>
      </c>
      <c r="C32" s="24">
        <f t="shared" si="7"/>
        <v>32</v>
      </c>
      <c r="D32" s="24">
        <f t="shared" si="0"/>
        <v>0.5585053606381855</v>
      </c>
      <c r="E32" s="24">
        <f t="shared" si="1"/>
        <v>5.149030349446435</v>
      </c>
      <c r="F32" s="17">
        <f t="shared" si="2"/>
        <v>3.549030349446435</v>
      </c>
      <c r="G32" s="29">
        <f t="shared" si="3"/>
        <v>5.46550673814751</v>
      </c>
      <c r="H32" s="57">
        <f t="shared" si="4"/>
        <v>7.097506738147509</v>
      </c>
      <c r="I32" s="29">
        <f>H32*'出力'!$D$48+'出力'!$E$65*F32</f>
        <v>170.342931519267</v>
      </c>
      <c r="J32" s="46">
        <f t="shared" si="5"/>
        <v>6.396194414548227</v>
      </c>
      <c r="K32" s="9"/>
    </row>
    <row r="33" spans="2:11" ht="13.5">
      <c r="B33" s="56">
        <f t="shared" si="6"/>
        <v>9.118336596342521</v>
      </c>
      <c r="C33" s="24">
        <f t="shared" si="7"/>
        <v>33</v>
      </c>
      <c r="D33" s="24">
        <f t="shared" si="0"/>
        <v>0.5759586531581288</v>
      </c>
      <c r="E33" s="24">
        <f t="shared" si="1"/>
        <v>4.962784088548915</v>
      </c>
      <c r="F33" s="17">
        <f t="shared" si="2"/>
        <v>3.362784088548915</v>
      </c>
      <c r="G33" s="29">
        <f t="shared" si="3"/>
        <v>5.178687496365329</v>
      </c>
      <c r="H33" s="57">
        <f t="shared" si="4"/>
        <v>6.810687496365329</v>
      </c>
      <c r="I33" s="29">
        <f>H33*'出力'!$D$48+'出力'!$E$65*F33</f>
        <v>163.0309033164304</v>
      </c>
      <c r="J33" s="46">
        <f t="shared" si="5"/>
        <v>9.118336596342521</v>
      </c>
      <c r="K33" s="9"/>
    </row>
    <row r="34" spans="2:11" ht="13.5">
      <c r="B34" s="56">
        <f t="shared" si="6"/>
        <v>11.562607989575435</v>
      </c>
      <c r="C34" s="24">
        <f t="shared" si="7"/>
        <v>34</v>
      </c>
      <c r="D34" s="24">
        <f t="shared" si="0"/>
        <v>0.5934119456780721</v>
      </c>
      <c r="E34" s="24">
        <f t="shared" si="1"/>
        <v>4.786287783019239</v>
      </c>
      <c r="F34" s="17">
        <f t="shared" si="2"/>
        <v>3.1862877830192393</v>
      </c>
      <c r="G34" s="29">
        <f t="shared" si="3"/>
        <v>4.906883185849629</v>
      </c>
      <c r="H34" s="57">
        <f t="shared" si="4"/>
        <v>6.538883185849628</v>
      </c>
      <c r="I34" s="29">
        <f>H34*'出力'!$D$48+'出力'!$E$65*F34</f>
        <v>156.10165836133532</v>
      </c>
      <c r="J34" s="46">
        <f t="shared" si="5"/>
        <v>11.562607989575435</v>
      </c>
      <c r="K34" s="9"/>
    </row>
    <row r="35" spans="2:11" ht="13.5">
      <c r="B35" s="56">
        <f t="shared" si="6"/>
        <v>13.754103609716319</v>
      </c>
      <c r="C35" s="24">
        <f t="shared" si="7"/>
        <v>35</v>
      </c>
      <c r="D35" s="24">
        <f t="shared" si="0"/>
        <v>0.6108652381980153</v>
      </c>
      <c r="E35" s="24">
        <f t="shared" si="1"/>
        <v>4.618695860765713</v>
      </c>
      <c r="F35" s="17">
        <f t="shared" si="2"/>
        <v>3.0186958607657126</v>
      </c>
      <c r="G35" s="29">
        <f t="shared" si="3"/>
        <v>4.6487916255791975</v>
      </c>
      <c r="H35" s="57">
        <f t="shared" si="4"/>
        <v>6.280791625579197</v>
      </c>
      <c r="I35" s="29">
        <f>H35*'出力'!$D$48+'出力'!$E$65*F35</f>
        <v>149.52199949366187</v>
      </c>
      <c r="J35" s="46">
        <f t="shared" si="5"/>
        <v>13.754103609716319</v>
      </c>
      <c r="K35" s="9"/>
    </row>
    <row r="36" spans="2:11" ht="13.5">
      <c r="B36" s="56">
        <f t="shared" si="6"/>
        <v>15.714941988837868</v>
      </c>
      <c r="C36" s="24">
        <f t="shared" si="7"/>
        <v>36</v>
      </c>
      <c r="D36" s="24">
        <f t="shared" si="0"/>
        <v>0.6283185307179586</v>
      </c>
      <c r="E36" s="24">
        <f t="shared" si="1"/>
        <v>4.459256315051214</v>
      </c>
      <c r="F36" s="17">
        <f t="shared" si="2"/>
        <v>2.8592563150512142</v>
      </c>
      <c r="G36" s="29">
        <f t="shared" si="3"/>
        <v>4.40325472517887</v>
      </c>
      <c r="H36" s="57">
        <f t="shared" si="4"/>
        <v>6.03525472517887</v>
      </c>
      <c r="I36" s="29">
        <f>H36*'出力'!$D$48+'出力'!$E$65*F36</f>
        <v>143.26240292891066</v>
      </c>
      <c r="J36" s="46">
        <f t="shared" si="5"/>
        <v>15.714941988837868</v>
      </c>
      <c r="K36" s="9"/>
    </row>
    <row r="37" spans="2:11" ht="13.5">
      <c r="B37" s="56">
        <f t="shared" si="6"/>
        <v>17.46467421892506</v>
      </c>
      <c r="C37" s="24">
        <f t="shared" si="7"/>
        <v>37</v>
      </c>
      <c r="D37" s="24">
        <f t="shared" si="0"/>
        <v>0.6457718232379019</v>
      </c>
      <c r="E37" s="24">
        <f t="shared" si="1"/>
        <v>4.3072980505908625</v>
      </c>
      <c r="F37" s="17">
        <f t="shared" si="2"/>
        <v>2.7072980505908624</v>
      </c>
      <c r="G37" s="29">
        <f t="shared" si="3"/>
        <v>4.169238997909928</v>
      </c>
      <c r="H37" s="57">
        <f t="shared" si="4"/>
        <v>5.801238997909928</v>
      </c>
      <c r="I37" s="29">
        <f>H37*'出力'!$D$48+'出力'!$E$65*F37</f>
        <v>137.29652146619725</v>
      </c>
      <c r="J37" s="46">
        <f t="shared" si="5"/>
        <v>17.46467421892506</v>
      </c>
      <c r="K37" s="9"/>
    </row>
    <row r="38" spans="2:11" ht="13.5">
      <c r="B38" s="56">
        <f t="shared" si="6"/>
        <v>19.020627552166182</v>
      </c>
      <c r="C38" s="24">
        <f t="shared" si="7"/>
        <v>38</v>
      </c>
      <c r="D38" s="24">
        <f t="shared" si="0"/>
        <v>0.6632251157578452</v>
      </c>
      <c r="E38" s="24">
        <f t="shared" si="1"/>
        <v>4.162220227154683</v>
      </c>
      <c r="F38" s="17">
        <f t="shared" si="2"/>
        <v>2.562220227154683</v>
      </c>
      <c r="G38" s="29">
        <f t="shared" si="3"/>
        <v>3.945819149818212</v>
      </c>
      <c r="H38" s="57">
        <f t="shared" si="4"/>
        <v>5.577819149818212</v>
      </c>
      <c r="I38" s="29">
        <f>H38*'出力'!$D$48+'出力'!$E$65*F38</f>
        <v>131.60076611809285</v>
      </c>
      <c r="J38" s="46">
        <f t="shared" si="5"/>
        <v>19.020627552166182</v>
      </c>
      <c r="K38" s="9"/>
    </row>
    <row r="39" spans="2:11" ht="13.5">
      <c r="B39" s="56">
        <f t="shared" si="6"/>
        <v>20.398195360689634</v>
      </c>
      <c r="C39" s="24">
        <f t="shared" si="7"/>
        <v>39</v>
      </c>
      <c r="D39" s="24">
        <f t="shared" si="0"/>
        <v>0.6806784082777885</v>
      </c>
      <c r="E39" s="24">
        <f t="shared" si="1"/>
        <v>4.023483242127959</v>
      </c>
      <c r="F39" s="17">
        <f t="shared" si="2"/>
        <v>2.423483242127959</v>
      </c>
      <c r="G39" s="29">
        <f t="shared" si="3"/>
        <v>3.732164192877057</v>
      </c>
      <c r="H39" s="57">
        <f t="shared" si="4"/>
        <v>5.364164192877057</v>
      </c>
      <c r="I39" s="29">
        <f>H39*'出力'!$D$48+'出力'!$E$65*F39</f>
        <v>126.15395208594367</v>
      </c>
      <c r="J39" s="46">
        <f t="shared" si="5"/>
        <v>20.398195360689634</v>
      </c>
      <c r="K39" s="9"/>
    </row>
    <row r="40" spans="2:11" ht="13.5">
      <c r="B40" s="56">
        <f t="shared" si="6"/>
        <v>21.611082890344797</v>
      </c>
      <c r="C40" s="24">
        <f t="shared" si="7"/>
        <v>40</v>
      </c>
      <c r="D40" s="24">
        <f t="shared" si="0"/>
        <v>0.6981317007977318</v>
      </c>
      <c r="E40" s="24">
        <f t="shared" si="1"/>
        <v>3.8906010651901672</v>
      </c>
      <c r="F40" s="17">
        <f t="shared" si="2"/>
        <v>2.290601065190167</v>
      </c>
      <c r="G40" s="29">
        <f t="shared" si="3"/>
        <v>3.5275256403928577</v>
      </c>
      <c r="H40" s="57">
        <f t="shared" si="4"/>
        <v>5.159525640392857</v>
      </c>
      <c r="I40" s="29">
        <f>H40*'出力'!$D$48+'出力'!$E$65*F40</f>
        <v>120.93699781936596</v>
      </c>
      <c r="J40" s="46">
        <f t="shared" si="5"/>
        <v>21.611082890344797</v>
      </c>
      <c r="K40" s="9"/>
    </row>
    <row r="41" spans="2:11" ht="13.5">
      <c r="B41" s="56">
        <f t="shared" si="6"/>
        <v>22.671516395732368</v>
      </c>
      <c r="C41" s="24">
        <f t="shared" si="7"/>
        <v>41</v>
      </c>
      <c r="D41" s="24">
        <f t="shared" si="0"/>
        <v>0.715584993317675</v>
      </c>
      <c r="E41" s="24">
        <f t="shared" si="1"/>
        <v>3.7631346942407107</v>
      </c>
      <c r="F41" s="17">
        <f t="shared" si="2"/>
        <v>2.1631346942407106</v>
      </c>
      <c r="G41" s="29">
        <f t="shared" si="3"/>
        <v>3.3312274291306943</v>
      </c>
      <c r="H41" s="57">
        <f t="shared" si="4"/>
        <v>4.963227429130694</v>
      </c>
      <c r="I41" s="29">
        <f>H41*'出力'!$D$48+'出力'!$E$65*F41</f>
        <v>115.93266809589029</v>
      </c>
      <c r="J41" s="46">
        <f t="shared" si="5"/>
        <v>22.671516395732368</v>
      </c>
      <c r="K41" s="9"/>
    </row>
    <row r="42" spans="2:11" ht="13.5">
      <c r="B42" s="56">
        <f t="shared" si="6"/>
        <v>23.590421792747364</v>
      </c>
      <c r="C42" s="24">
        <f t="shared" si="7"/>
        <v>42</v>
      </c>
      <c r="D42" s="24">
        <f t="shared" si="0"/>
        <v>0.7330382858376184</v>
      </c>
      <c r="E42" s="24">
        <f t="shared" si="1"/>
        <v>3.640686545673914</v>
      </c>
      <c r="F42" s="17">
        <f t="shared" si="2"/>
        <v>2.040686545673914</v>
      </c>
      <c r="G42" s="29">
        <f t="shared" si="3"/>
        <v>3.142657280337828</v>
      </c>
      <c r="H42" s="57">
        <f t="shared" si="4"/>
        <v>4.774657280337828</v>
      </c>
      <c r="I42" s="29">
        <f>H42*'出力'!$D$48+'出力'!$E$65*F42</f>
        <v>111.12535378315788</v>
      </c>
      <c r="J42" s="46">
        <f t="shared" si="5"/>
        <v>23.590421792747364</v>
      </c>
      <c r="K42" s="9"/>
    </row>
    <row r="43" spans="2:11" ht="13.5">
      <c r="B43" s="56">
        <f t="shared" si="6"/>
        <v>24.377577818122457</v>
      </c>
      <c r="C43" s="24">
        <f t="shared" si="7"/>
        <v>43</v>
      </c>
      <c r="D43" s="24">
        <f t="shared" si="0"/>
        <v>0.7504915783575616</v>
      </c>
      <c r="E43" s="24">
        <f t="shared" si="1"/>
        <v>3.522895626876023</v>
      </c>
      <c r="F43" s="17">
        <f t="shared" si="2"/>
        <v>1.9228956268760231</v>
      </c>
      <c r="G43" s="29">
        <f t="shared" si="3"/>
        <v>2.9612592653890757</v>
      </c>
      <c r="H43" s="57">
        <f t="shared" si="4"/>
        <v>4.593259265389076</v>
      </c>
      <c r="I43" s="29">
        <f>H43*'出力'!$D$48+'出力'!$E$65*F43</f>
        <v>106.50088231115267</v>
      </c>
      <c r="J43" s="46">
        <f t="shared" si="5"/>
        <v>24.377577818122457</v>
      </c>
      <c r="K43" s="9"/>
    </row>
    <row r="44" spans="2:11" ht="13.5">
      <c r="B44" s="56">
        <f t="shared" si="6"/>
        <v>25.04174777364869</v>
      </c>
      <c r="C44" s="24">
        <f t="shared" si="7"/>
        <v>44</v>
      </c>
      <c r="D44" s="24">
        <f t="shared" si="0"/>
        <v>0.767944870877505</v>
      </c>
      <c r="E44" s="24">
        <f t="shared" si="1"/>
        <v>3.4094333664749548</v>
      </c>
      <c r="F44" s="17">
        <f t="shared" si="2"/>
        <v>1.8094333664749547</v>
      </c>
      <c r="G44" s="29">
        <f t="shared" si="3"/>
        <v>2.78652738437143</v>
      </c>
      <c r="H44" s="57">
        <f t="shared" si="4"/>
        <v>4.41852738437143</v>
      </c>
      <c r="I44" s="29">
        <f>H44*'出力'!$D$48+'出力'!$E$65*F44</f>
        <v>102.04635396780671</v>
      </c>
      <c r="J44" s="46">
        <f t="shared" si="5"/>
        <v>25.04174777364869</v>
      </c>
      <c r="K44" s="9"/>
    </row>
    <row r="45" spans="2:11" ht="13.5">
      <c r="B45" s="56">
        <f t="shared" si="6"/>
        <v>25.590793203624454</v>
      </c>
      <c r="C45" s="24">
        <f t="shared" si="7"/>
        <v>45</v>
      </c>
      <c r="D45" s="24">
        <f t="shared" si="0"/>
        <v>0.7853981633974483</v>
      </c>
      <c r="E45" s="24">
        <f t="shared" si="1"/>
        <v>3.3000000000000007</v>
      </c>
      <c r="F45" s="17">
        <f t="shared" si="2"/>
        <v>1.7000000000000006</v>
      </c>
      <c r="G45" s="29">
        <f t="shared" si="3"/>
        <v>2.618000000000001</v>
      </c>
      <c r="H45" s="57">
        <f t="shared" si="4"/>
        <v>4.250000000000001</v>
      </c>
      <c r="I45" s="29">
        <f>H45*'出力'!$D$48+'出力'!$E$65*F45</f>
        <v>97.75000000000003</v>
      </c>
      <c r="J45" s="46">
        <f t="shared" si="5"/>
        <v>25.590793203624454</v>
      </c>
      <c r="K45" s="9"/>
    </row>
    <row r="46" spans="2:11" ht="13.5">
      <c r="B46" s="56">
        <f t="shared" si="6"/>
        <v>26.03177226787388</v>
      </c>
      <c r="C46" s="24">
        <f t="shared" si="7"/>
        <v>46</v>
      </c>
      <c r="D46" s="24">
        <f t="shared" si="0"/>
        <v>0.8028514559173915</v>
      </c>
      <c r="E46" s="24">
        <f t="shared" si="1"/>
        <v>3.194321426405789</v>
      </c>
      <c r="F46" s="17">
        <f t="shared" si="2"/>
        <v>1.5943214264057888</v>
      </c>
      <c r="G46" s="29">
        <f t="shared" si="3"/>
        <v>2.4552549966649146</v>
      </c>
      <c r="H46" s="57">
        <f t="shared" si="4"/>
        <v>4.087254996664915</v>
      </c>
      <c r="I46" s="29">
        <f>H46*'出力'!$D$48+'出力'!$E$65*F46</f>
        <v>93.60105920069127</v>
      </c>
      <c r="J46" s="46">
        <f t="shared" si="5"/>
        <v>26.03177226787388</v>
      </c>
      <c r="K46" s="9"/>
    </row>
    <row r="47" spans="2:11" ht="13.5">
      <c r="B47" s="56">
        <f t="shared" si="6"/>
        <v>26.371025098923596</v>
      </c>
      <c r="C47" s="24">
        <f t="shared" si="7"/>
        <v>47</v>
      </c>
      <c r="D47" s="24">
        <f t="shared" si="0"/>
        <v>0.8203047484373349</v>
      </c>
      <c r="E47" s="24">
        <f t="shared" si="1"/>
        <v>3.092146465303998</v>
      </c>
      <c r="F47" s="17">
        <f t="shared" si="2"/>
        <v>1.492146465303998</v>
      </c>
      <c r="G47" s="29">
        <f t="shared" si="3"/>
        <v>2.297905556568157</v>
      </c>
      <c r="H47" s="57">
        <f t="shared" si="4"/>
        <v>3.9299055565681567</v>
      </c>
      <c r="I47" s="29">
        <f>H47*'出力'!$D$48+'出力'!$E$65*F47</f>
        <v>89.58967022783496</v>
      </c>
      <c r="J47" s="46">
        <f t="shared" si="5"/>
        <v>26.371025098923596</v>
      </c>
      <c r="K47" s="9"/>
    </row>
    <row r="48" spans="2:11" ht="13.5">
      <c r="B48" s="56">
        <f t="shared" si="6"/>
        <v>26.614248047158526</v>
      </c>
      <c r="C48" s="24">
        <f t="shared" si="7"/>
        <v>48</v>
      </c>
      <c r="D48" s="24">
        <f t="shared" si="0"/>
        <v>0.8377580409572781</v>
      </c>
      <c r="E48" s="24">
        <f t="shared" si="1"/>
        <v>2.9932444564373477</v>
      </c>
      <c r="F48" s="17">
        <f t="shared" si="2"/>
        <v>1.3932444564373476</v>
      </c>
      <c r="G48" s="29">
        <f t="shared" si="3"/>
        <v>2.1455964629135154</v>
      </c>
      <c r="H48" s="57">
        <f t="shared" si="4"/>
        <v>3.7775964629135155</v>
      </c>
      <c r="I48" s="29">
        <f>H48*'出力'!$D$48+'出力'!$E$65*F48</f>
        <v>85.70677735973027</v>
      </c>
      <c r="J48" s="46">
        <f t="shared" si="5"/>
        <v>26.614248047158526</v>
      </c>
      <c r="K48" s="9"/>
    </row>
    <row r="49" spans="2:11" ht="13.5">
      <c r="B49" s="56">
        <f t="shared" si="6"/>
        <v>26.766558403795287</v>
      </c>
      <c r="C49" s="24">
        <f t="shared" si="7"/>
        <v>49</v>
      </c>
      <c r="D49" s="24">
        <f t="shared" si="0"/>
        <v>0.8552113334772214</v>
      </c>
      <c r="E49" s="24">
        <f t="shared" si="1"/>
        <v>2.8974031524739785</v>
      </c>
      <c r="F49" s="17">
        <f t="shared" si="2"/>
        <v>1.2974031524739784</v>
      </c>
      <c r="G49" s="29">
        <f t="shared" si="3"/>
        <v>1.9980008548099268</v>
      </c>
      <c r="H49" s="57">
        <f t="shared" si="4"/>
        <v>3.6300008548099267</v>
      </c>
      <c r="I49" s="29">
        <f>H49*'出力'!$D$48+'出力'!$E$65*F49</f>
        <v>81.94404776612839</v>
      </c>
      <c r="J49" s="46">
        <f t="shared" si="5"/>
        <v>26.766558403795287</v>
      </c>
      <c r="K49" s="9"/>
    </row>
    <row r="50" spans="2:11" ht="13.5">
      <c r="B50" s="56">
        <f t="shared" si="6"/>
        <v>26.832550934117677</v>
      </c>
      <c r="C50" s="24">
        <f t="shared" si="7"/>
        <v>50</v>
      </c>
      <c r="D50" s="24">
        <f t="shared" si="0"/>
        <v>0.8726646259971648</v>
      </c>
      <c r="E50" s="24">
        <f t="shared" si="1"/>
        <v>2.8044268640260226</v>
      </c>
      <c r="F50" s="17">
        <f t="shared" si="2"/>
        <v>1.2044268640260225</v>
      </c>
      <c r="G50" s="29">
        <f t="shared" si="3"/>
        <v>1.8548173706000748</v>
      </c>
      <c r="H50" s="57">
        <f t="shared" si="4"/>
        <v>3.4868173706000745</v>
      </c>
      <c r="I50" s="29">
        <f>H50*'出力'!$D$48+'出力'!$E$65*F50</f>
        <v>78.29379868166164</v>
      </c>
      <c r="J50" s="46">
        <f t="shared" si="5"/>
        <v>26.832550934117677</v>
      </c>
      <c r="K50" s="9"/>
    </row>
    <row r="51" spans="2:11" ht="13.5">
      <c r="B51" s="56">
        <f t="shared" si="6"/>
        <v>26.816347341486352</v>
      </c>
      <c r="C51" s="24">
        <f aca="true" t="shared" si="8" ref="C51:C57">C50+1</f>
        <v>51</v>
      </c>
      <c r="D51" s="24">
        <f aca="true" t="shared" si="9" ref="D51:D76">C51*PI()/180</f>
        <v>0.890117918517108</v>
      </c>
      <c r="E51" s="24">
        <f aca="true" t="shared" si="10" ref="E51:E76">$D$28/TAN(D51)+$D$20</f>
        <v>2.7141348222406227</v>
      </c>
      <c r="F51" s="17">
        <f aca="true" t="shared" si="11" ref="F51:F76">E51-$D$22</f>
        <v>1.1141348222406227</v>
      </c>
      <c r="G51" s="29">
        <f aca="true" t="shared" si="12" ref="G51:G76">0.5*F51*$D$28</f>
        <v>1.715767626250559</v>
      </c>
      <c r="H51" s="57">
        <f aca="true" t="shared" si="13" ref="H51:H76">$F$16+$F$24+G51</f>
        <v>3.347767626250559</v>
      </c>
      <c r="I51" s="29">
        <f>H51*'出力'!$D$48+'出力'!$E$65*F51</f>
        <v>74.74893312116684</v>
      </c>
      <c r="J51" s="46">
        <f t="shared" si="5"/>
        <v>26.816347341486352</v>
      </c>
      <c r="K51" s="9"/>
    </row>
    <row r="52" spans="2:10" ht="13.5">
      <c r="B52" s="56">
        <f t="shared" si="6"/>
        <v>26.721639607385537</v>
      </c>
      <c r="C52" s="24">
        <f t="shared" si="8"/>
        <v>52</v>
      </c>
      <c r="D52" s="24">
        <f t="shared" si="9"/>
        <v>0.9075712110370514</v>
      </c>
      <c r="E52" s="24">
        <f t="shared" si="10"/>
        <v>2.62635972964069</v>
      </c>
      <c r="F52" s="17">
        <f t="shared" si="11"/>
        <v>1.0263597296406899</v>
      </c>
      <c r="G52" s="29">
        <f t="shared" si="12"/>
        <v>1.5805939836466625</v>
      </c>
      <c r="H52" s="57">
        <f t="shared" si="13"/>
        <v>3.2125939836466624</v>
      </c>
      <c r="I52" s="29">
        <f>H52*'出力'!$D$48+'出力'!$E$65*F52</f>
        <v>71.30288298569349</v>
      </c>
      <c r="J52" s="46">
        <f t="shared" si="5"/>
        <v>26.721639607385537</v>
      </c>
    </row>
    <row r="53" spans="2:10" ht="13.5">
      <c r="B53" s="56">
        <f t="shared" si="6"/>
        <v>26.551728007252763</v>
      </c>
      <c r="C53" s="24">
        <f t="shared" si="8"/>
        <v>53</v>
      </c>
      <c r="D53" s="24">
        <f t="shared" si="9"/>
        <v>0.9250245035569946</v>
      </c>
      <c r="E53" s="24">
        <f t="shared" si="10"/>
        <v>2.540946474316607</v>
      </c>
      <c r="F53" s="17">
        <f t="shared" si="11"/>
        <v>0.9409464743166067</v>
      </c>
      <c r="G53" s="29">
        <f t="shared" si="12"/>
        <v>1.4490575704475743</v>
      </c>
      <c r="H53" s="57">
        <f t="shared" si="13"/>
        <v>3.081057570447574</v>
      </c>
      <c r="I53" s="29">
        <f>H53*'出力'!$D$48+'出力'!$E$65*F53</f>
        <v>67.94955858166998</v>
      </c>
      <c r="J53" s="46">
        <f t="shared" si="5"/>
        <v>26.551728007252763</v>
      </c>
    </row>
    <row r="54" spans="2:10" ht="13.5">
      <c r="B54" s="56">
        <f t="shared" si="6"/>
        <v>26.309554480514958</v>
      </c>
      <c r="C54" s="24">
        <f t="shared" si="8"/>
        <v>54</v>
      </c>
      <c r="D54" s="24">
        <f t="shared" si="9"/>
        <v>0.9424777960769379</v>
      </c>
      <c r="E54" s="24">
        <f t="shared" si="10"/>
        <v>2.457750986256512</v>
      </c>
      <c r="F54" s="17">
        <f t="shared" si="11"/>
        <v>0.8577509862565118</v>
      </c>
      <c r="G54" s="29">
        <f t="shared" si="12"/>
        <v>1.3209365188350282</v>
      </c>
      <c r="H54" s="57">
        <f t="shared" si="13"/>
        <v>2.952936518835028</v>
      </c>
      <c r="I54" s="29">
        <f>H54*'出力'!$D$48+'出力'!$E$65*F54</f>
        <v>64.68330372043066</v>
      </c>
      <c r="J54" s="46">
        <f t="shared" si="5"/>
        <v>26.309554480514958</v>
      </c>
    </row>
    <row r="55" spans="2:10" ht="13.5">
      <c r="B55" s="56">
        <f t="shared" si="6"/>
        <v>25.997731931696105</v>
      </c>
      <c r="C55" s="24">
        <f t="shared" si="8"/>
        <v>55</v>
      </c>
      <c r="D55" s="24">
        <f t="shared" si="9"/>
        <v>0.9599310885968813</v>
      </c>
      <c r="E55" s="24">
        <f t="shared" si="10"/>
        <v>2.3766392176859066</v>
      </c>
      <c r="F55" s="17">
        <f t="shared" si="11"/>
        <v>0.7766392176859065</v>
      </c>
      <c r="G55" s="29">
        <f t="shared" si="12"/>
        <v>1.1960243952362961</v>
      </c>
      <c r="H55" s="57">
        <f t="shared" si="13"/>
        <v>2.8280243952362962</v>
      </c>
      <c r="I55" s="29">
        <f>H55*'出力'!$D$48+'出力'!$E$65*F55</f>
        <v>61.49885568634869</v>
      </c>
      <c r="J55" s="46">
        <f t="shared" si="5"/>
        <v>25.997731931696105</v>
      </c>
    </row>
    <row r="56" spans="2:10" ht="13.5">
      <c r="B56" s="56">
        <f t="shared" si="6"/>
        <v>25.618569954108175</v>
      </c>
      <c r="C56" s="24">
        <f t="shared" si="8"/>
        <v>56</v>
      </c>
      <c r="D56" s="24">
        <f t="shared" si="9"/>
        <v>0.9773843811168246</v>
      </c>
      <c r="E56" s="24">
        <f t="shared" si="10"/>
        <v>2.2974862318746743</v>
      </c>
      <c r="F56" s="17">
        <f t="shared" si="11"/>
        <v>0.6974862318746742</v>
      </c>
      <c r="G56" s="29">
        <f t="shared" si="12"/>
        <v>1.0741287970869982</v>
      </c>
      <c r="H56" s="57">
        <f t="shared" si="13"/>
        <v>2.706128797086998</v>
      </c>
      <c r="I56" s="29">
        <f>H56*'出力'!$D$48+'出力'!$E$65*F56</f>
        <v>58.3913094633997</v>
      </c>
      <c r="J56" s="46">
        <f t="shared" si="5"/>
        <v>25.618569954108175</v>
      </c>
    </row>
    <row r="57" spans="2:10" ht="13.5">
      <c r="B57" s="56">
        <f t="shared" si="6"/>
        <v>25.174097395612336</v>
      </c>
      <c r="C57" s="24">
        <f t="shared" si="8"/>
        <v>57</v>
      </c>
      <c r="D57" s="24">
        <f t="shared" si="9"/>
        <v>0.9948376736367678</v>
      </c>
      <c r="E57" s="24">
        <f t="shared" si="10"/>
        <v>2.220175387048333</v>
      </c>
      <c r="F57" s="17">
        <f t="shared" si="11"/>
        <v>0.6201753870483331</v>
      </c>
      <c r="G57" s="29">
        <f t="shared" si="12"/>
        <v>0.9550700960544329</v>
      </c>
      <c r="H57" s="57">
        <f t="shared" si="13"/>
        <v>2.5870700960544326</v>
      </c>
      <c r="I57" s="29">
        <f>H57*'出力'!$D$48+'出力'!$E$65*F57</f>
        <v>55.35608569551755</v>
      </c>
      <c r="J57" s="46">
        <f t="shared" si="5"/>
        <v>25.174097395612336</v>
      </c>
    </row>
    <row r="58" spans="2:10" ht="13.5">
      <c r="B58" s="56">
        <f t="shared" si="6"/>
        <v>24.666082124909813</v>
      </c>
      <c r="C58" s="24">
        <f aca="true" t="shared" si="14" ref="C58:C67">C57+1</f>
        <v>58</v>
      </c>
      <c r="D58" s="24">
        <f t="shared" si="9"/>
        <v>1.0122909661567112</v>
      </c>
      <c r="E58" s="24">
        <f t="shared" si="10"/>
        <v>2.1445976038807286</v>
      </c>
      <c r="F58" s="17">
        <f t="shared" si="11"/>
        <v>0.5445976038807285</v>
      </c>
      <c r="G58" s="29">
        <f t="shared" si="12"/>
        <v>0.8386803099763219</v>
      </c>
      <c r="H58" s="57">
        <f t="shared" si="13"/>
        <v>2.4706803099763217</v>
      </c>
      <c r="I58" s="29">
        <f>H58*'出力'!$D$48+'出力'!$E$65*F58</f>
        <v>52.3889019283574</v>
      </c>
      <c r="J58" s="46">
        <f t="shared" si="5"/>
        <v>24.666082124909813</v>
      </c>
    </row>
    <row r="59" spans="2:10" ht="13.5">
      <c r="B59" s="56">
        <f t="shared" si="6"/>
        <v>24.096048304893188</v>
      </c>
      <c r="C59" s="24">
        <f t="shared" si="14"/>
        <v>59</v>
      </c>
      <c r="D59" s="24">
        <f t="shared" si="9"/>
        <v>1.0297442586766543</v>
      </c>
      <c r="E59" s="24">
        <f t="shared" si="10"/>
        <v>2.0706507066048867</v>
      </c>
      <c r="F59" s="17">
        <f t="shared" si="11"/>
        <v>0.4706507066048866</v>
      </c>
      <c r="G59" s="29">
        <f t="shared" si="12"/>
        <v>0.7248020881715254</v>
      </c>
      <c r="H59" s="57">
        <f t="shared" si="13"/>
        <v>2.3568020881715253</v>
      </c>
      <c r="I59" s="29">
        <f>H59*'出力'!$D$48+'出力'!$E$65*F59</f>
        <v>49.48574674130784</v>
      </c>
      <c r="J59" s="46">
        <f t="shared" si="5"/>
        <v>24.096048304893188</v>
      </c>
    </row>
    <row r="60" spans="2:12" ht="13.5">
      <c r="B60" s="56">
        <f t="shared" si="6"/>
        <v>23.465291435203277</v>
      </c>
      <c r="C60" s="24">
        <f t="shared" si="14"/>
        <v>60</v>
      </c>
      <c r="D60" s="24">
        <f t="shared" si="9"/>
        <v>1.0471975511965976</v>
      </c>
      <c r="E60" s="24">
        <f t="shared" si="10"/>
        <v>1.9982388291040478</v>
      </c>
      <c r="F60" s="17">
        <f t="shared" si="11"/>
        <v>0.39823882910404773</v>
      </c>
      <c r="G60" s="29">
        <f t="shared" si="12"/>
        <v>0.6132877968202335</v>
      </c>
      <c r="H60" s="57">
        <f t="shared" si="13"/>
        <v>2.245287796820233</v>
      </c>
      <c r="I60" s="29">
        <f>H60*'出力'!$D$48+'出力'!$E$65*F60</f>
        <v>46.64285643062491</v>
      </c>
      <c r="J60" s="46">
        <f t="shared" si="5"/>
        <v>23.465291435203277</v>
      </c>
      <c r="L60" s="52"/>
    </row>
    <row r="61" spans="2:10" ht="13.5">
      <c r="B61" s="56">
        <f t="shared" si="6"/>
        <v>22.774891388018904</v>
      </c>
      <c r="C61" s="24">
        <f t="shared" si="14"/>
        <v>61</v>
      </c>
      <c r="D61" s="24">
        <f t="shared" si="9"/>
        <v>1.064650843716541</v>
      </c>
      <c r="E61" s="24">
        <f t="shared" si="10"/>
        <v>1.9272718784745286</v>
      </c>
      <c r="F61" s="17">
        <f t="shared" si="11"/>
        <v>0.32727187847452854</v>
      </c>
      <c r="G61" s="29">
        <f t="shared" si="12"/>
        <v>0.5039986928507739</v>
      </c>
      <c r="H61" s="57">
        <f t="shared" si="13"/>
        <v>2.135998692850774</v>
      </c>
      <c r="I61" s="29">
        <f>H61*'出力'!$D$48+'出力'!$E$65*F61</f>
        <v>43.85669394890999</v>
      </c>
      <c r="J61" s="46">
        <f t="shared" si="5"/>
        <v>22.774891388018904</v>
      </c>
    </row>
    <row r="62" spans="2:10" ht="13.5">
      <c r="B62" s="56">
        <f t="shared" si="6"/>
        <v>22.025723628199554</v>
      </c>
      <c r="C62" s="24">
        <f t="shared" si="14"/>
        <v>62</v>
      </c>
      <c r="D62" s="24">
        <f t="shared" si="9"/>
        <v>1.0821041362364843</v>
      </c>
      <c r="E62" s="24">
        <f t="shared" si="10"/>
        <v>1.8576650495173548</v>
      </c>
      <c r="F62" s="17">
        <f t="shared" si="11"/>
        <v>0.2576650495173547</v>
      </c>
      <c r="G62" s="29">
        <f t="shared" si="12"/>
        <v>0.39680417625672626</v>
      </c>
      <c r="H62" s="57">
        <f t="shared" si="13"/>
        <v>2.028804176256726</v>
      </c>
      <c r="I62" s="29">
        <f>H62*'出力'!$D$48+'出力'!$E$65*F62</f>
        <v>41.12392984405134</v>
      </c>
      <c r="J62" s="46">
        <f t="shared" si="5"/>
        <v>22.025723628199554</v>
      </c>
    </row>
    <row r="63" spans="2:10" ht="13.5">
      <c r="B63" s="56">
        <f t="shared" si="6"/>
        <v>21.218468780330962</v>
      </c>
      <c r="C63" s="24">
        <f t="shared" si="14"/>
        <v>63</v>
      </c>
      <c r="D63" s="24">
        <f t="shared" si="9"/>
        <v>1.0995574287564276</v>
      </c>
      <c r="E63" s="24">
        <f t="shared" si="10"/>
        <v>1.789338384442841</v>
      </c>
      <c r="F63" s="17">
        <f t="shared" si="11"/>
        <v>0.1893383844428409</v>
      </c>
      <c r="G63" s="29">
        <f t="shared" si="12"/>
        <v>0.291581112041975</v>
      </c>
      <c r="H63" s="57">
        <f t="shared" si="13"/>
        <v>1.9235811120419748</v>
      </c>
      <c r="I63" s="29">
        <f>H63*'出力'!$D$48+'出力'!$E$65*F63</f>
        <v>38.44142497322593</v>
      </c>
      <c r="J63" s="46">
        <f t="shared" si="5"/>
        <v>21.218468780330962</v>
      </c>
    </row>
    <row r="64" spans="2:10" ht="13.5">
      <c r="B64" s="56">
        <f t="shared" si="6"/>
        <v>20.35362068025823</v>
      </c>
      <c r="C64" s="24">
        <f t="shared" si="14"/>
        <v>64</v>
      </c>
      <c r="D64" s="24">
        <f t="shared" si="9"/>
        <v>1.117010721276371</v>
      </c>
      <c r="E64" s="24">
        <f t="shared" si="10"/>
        <v>1.7222163727828534</v>
      </c>
      <c r="F64" s="17">
        <f t="shared" si="11"/>
        <v>0.12221637278285336</v>
      </c>
      <c r="G64" s="29">
        <f t="shared" si="12"/>
        <v>0.18821321408559416</v>
      </c>
      <c r="H64" s="57">
        <f t="shared" si="13"/>
        <v>1.820213214085594</v>
      </c>
      <c r="I64" s="29">
        <f>H64*'出力'!$D$48+'出力'!$E$65*F64</f>
        <v>35.80621479545482</v>
      </c>
      <c r="J64" s="46">
        <f t="shared" si="5"/>
        <v>20.35362068025823</v>
      </c>
    </row>
    <row r="65" spans="2:10" ht="13.5">
      <c r="B65" s="56">
        <f t="shared" si="6"/>
        <v>19.431493026718123</v>
      </c>
      <c r="C65" s="24">
        <f t="shared" si="14"/>
        <v>65</v>
      </c>
      <c r="D65" s="24">
        <f t="shared" si="9"/>
        <v>1.1344640137963142</v>
      </c>
      <c r="E65" s="24">
        <f t="shared" si="10"/>
        <v>1.6562275871173957</v>
      </c>
      <c r="F65" s="17">
        <f t="shared" si="11"/>
        <v>0.05622758711739562</v>
      </c>
      <c r="G65" s="29">
        <f t="shared" si="12"/>
        <v>0.08659048416078925</v>
      </c>
      <c r="H65" s="57">
        <f t="shared" si="13"/>
        <v>1.718590484160789</v>
      </c>
      <c r="I65" s="29">
        <f>H65*'出力'!$D$48+'出力'!$E$65*F65</f>
        <v>33.215495070228954</v>
      </c>
      <c r="J65" s="46">
        <f t="shared" si="5"/>
        <v>19.431493026718123</v>
      </c>
    </row>
    <row r="66" spans="2:10" ht="13.5">
      <c r="B66" s="56">
        <f t="shared" si="6"/>
        <v>18.452224729181808</v>
      </c>
      <c r="C66" s="24">
        <f t="shared" si="14"/>
        <v>66</v>
      </c>
      <c r="D66" s="24">
        <f t="shared" si="9"/>
        <v>1.1519173063162575</v>
      </c>
      <c r="E66" s="24">
        <f t="shared" si="10"/>
        <v>1.591304350750291</v>
      </c>
      <c r="F66" s="17">
        <f t="shared" si="11"/>
        <v>-0.008695649249709003</v>
      </c>
      <c r="G66" s="29">
        <f t="shared" si="12"/>
        <v>-0.013391299844551865</v>
      </c>
      <c r="H66" s="57">
        <f t="shared" si="13"/>
        <v>1.618608700155448</v>
      </c>
      <c r="I66" s="29">
        <f>H66*'出力'!$D$48+'出力'!$E$65*F66</f>
        <v>30.666608810456424</v>
      </c>
      <c r="J66" s="46">
        <f t="shared" si="5"/>
        <v>18.452224729181808</v>
      </c>
    </row>
    <row r="67" spans="2:10" ht="13.5">
      <c r="B67" s="56">
        <f t="shared" si="6"/>
        <v>17.41578403055006</v>
      </c>
      <c r="C67" s="24">
        <f t="shared" si="14"/>
        <v>67</v>
      </c>
      <c r="D67" s="24">
        <f t="shared" si="9"/>
        <v>1.1693705988362006</v>
      </c>
      <c r="E67" s="24">
        <f t="shared" si="10"/>
        <v>1.5273824339255833</v>
      </c>
      <c r="F67" s="17">
        <f t="shared" si="11"/>
        <v>-0.07261756607441683</v>
      </c>
      <c r="G67" s="29">
        <f t="shared" si="12"/>
        <v>-0.11183105175460192</v>
      </c>
      <c r="H67" s="57">
        <f t="shared" si="13"/>
        <v>1.520168948245398</v>
      </c>
      <c r="I67" s="29">
        <f>H67*'出力'!$D$48+'出力'!$E$65*F67</f>
        <v>28.15703435591839</v>
      </c>
      <c r="J67" s="46">
        <f t="shared" si="5"/>
        <v>17.41578403055006</v>
      </c>
    </row>
    <row r="68" spans="2:10" ht="13.5">
      <c r="B68" s="56">
        <f>J68</f>
        <v>16.321971467523237</v>
      </c>
      <c r="C68" s="24">
        <f>C67+1</f>
        <v>68</v>
      </c>
      <c r="D68" s="24">
        <f>C68*PI()/180</f>
        <v>1.1868238913561442</v>
      </c>
      <c r="E68" s="24">
        <f>$D$28/TAN(D68)+$D$20</f>
        <v>1.4644007755722828</v>
      </c>
      <c r="F68" s="17">
        <f>E68-$D$22</f>
        <v>-0.13559922442771732</v>
      </c>
      <c r="G68" s="29">
        <f>0.5*F68*$D$28</f>
        <v>-0.2088228056186847</v>
      </c>
      <c r="H68" s="57">
        <f>$F$16+$F$24+G68</f>
        <v>1.4231771943813152</v>
      </c>
      <c r="I68" s="29">
        <f>H68*'出力'!$D$48+'出力'!$E$65*F68</f>
        <v>25.684374448967816</v>
      </c>
      <c r="J68" s="46">
        <f t="shared" si="5"/>
        <v>16.321971467523237</v>
      </c>
    </row>
    <row r="69" spans="2:10" ht="13.5">
      <c r="B69" s="56">
        <f t="shared" si="6"/>
        <v>15.170421716968168</v>
      </c>
      <c r="C69" s="24">
        <f aca="true" t="shared" si="15" ref="C69:C76">C68+1</f>
        <v>69</v>
      </c>
      <c r="D69" s="24">
        <f t="shared" si="9"/>
        <v>1.2042771838760873</v>
      </c>
      <c r="E69" s="24">
        <f t="shared" si="10"/>
        <v>1.4023012279090812</v>
      </c>
      <c r="F69" s="17">
        <f t="shared" si="11"/>
        <v>-0.1976987720909189</v>
      </c>
      <c r="G69" s="29">
        <f t="shared" si="12"/>
        <v>-0.30445610902001513</v>
      </c>
      <c r="H69" s="57">
        <f t="shared" si="13"/>
        <v>1.3275438909799848</v>
      </c>
      <c r="I69" s="29">
        <f>H69*'出力'!$D$48+'出力'!$E$65*F69</f>
        <v>23.246346207710523</v>
      </c>
      <c r="J69" s="46">
        <f t="shared" si="5"/>
        <v>15.170421716968168</v>
      </c>
    </row>
    <row r="70" spans="2:10" ht="13.5">
      <c r="B70" s="56">
        <f t="shared" si="6"/>
        <v>13.960604363128216</v>
      </c>
      <c r="C70" s="24">
        <f t="shared" si="15"/>
        <v>70</v>
      </c>
      <c r="D70" s="24">
        <f t="shared" si="9"/>
        <v>1.2217304763960306</v>
      </c>
      <c r="E70" s="24">
        <f t="shared" si="10"/>
        <v>1.3410283215399035</v>
      </c>
      <c r="F70" s="17">
        <f t="shared" si="11"/>
        <v>-0.2589716784600966</v>
      </c>
      <c r="G70" s="29">
        <f t="shared" si="12"/>
        <v>-0.3988163848285488</v>
      </c>
      <c r="H70" s="57">
        <f t="shared" si="13"/>
        <v>1.233183615171451</v>
      </c>
      <c r="I70" s="29">
        <f>H70*'出力'!$D$48+'出力'!$E$65*F70</f>
        <v>20.840771903656602</v>
      </c>
      <c r="J70" s="46">
        <f t="shared" si="5"/>
        <v>13.960604363128216</v>
      </c>
    </row>
    <row r="71" spans="2:10" ht="13.5">
      <c r="B71" s="56">
        <f t="shared" si="6"/>
        <v>12.691823607812891</v>
      </c>
      <c r="C71" s="24">
        <f t="shared" si="15"/>
        <v>71</v>
      </c>
      <c r="D71" s="24">
        <f t="shared" si="9"/>
        <v>1.239183768915974</v>
      </c>
      <c r="E71" s="24">
        <f t="shared" si="10"/>
        <v>1.2805290489321692</v>
      </c>
      <c r="F71" s="17">
        <f t="shared" si="11"/>
        <v>-0.31947095106783086</v>
      </c>
      <c r="G71" s="29">
        <f t="shared" si="12"/>
        <v>-0.4919852646444595</v>
      </c>
      <c r="H71" s="57">
        <f t="shared" si="13"/>
        <v>1.1400147353555403</v>
      </c>
      <c r="I71" s="29">
        <f>H71*'出力'!$D$48+'出力'!$E$65*F71</f>
        <v>18.465570461076958</v>
      </c>
      <c r="J71" s="46">
        <f t="shared" si="5"/>
        <v>12.691823607812891</v>
      </c>
    </row>
    <row r="72" spans="2:10" ht="13.5">
      <c r="B72" s="56">
        <f t="shared" si="6"/>
        <v>11.363216933514495</v>
      </c>
      <c r="C72" s="24">
        <f t="shared" si="15"/>
        <v>72</v>
      </c>
      <c r="D72" s="24">
        <f t="shared" si="9"/>
        <v>1.2566370614359172</v>
      </c>
      <c r="E72" s="24">
        <f t="shared" si="10"/>
        <v>1.2207526643973516</v>
      </c>
      <c r="F72" s="17">
        <f t="shared" si="11"/>
        <v>-0.37924733560264845</v>
      </c>
      <c r="G72" s="29">
        <f t="shared" si="12"/>
        <v>-0.5840408968280786</v>
      </c>
      <c r="H72" s="57">
        <f t="shared" si="13"/>
        <v>1.0479591031719213</v>
      </c>
      <c r="I72" s="29">
        <f>H72*'出力'!$D$48+'出力'!$E$65*F72</f>
        <v>16.118749604240023</v>
      </c>
      <c r="J72" s="46">
        <f t="shared" si="5"/>
        <v>11.363216933514495</v>
      </c>
    </row>
    <row r="73" spans="2:10" ht="13.5">
      <c r="B73" s="56">
        <f t="shared" si="6"/>
        <v>9.973752717512411</v>
      </c>
      <c r="C73" s="24">
        <f t="shared" si="15"/>
        <v>73</v>
      </c>
      <c r="D73" s="24">
        <f t="shared" si="9"/>
        <v>1.2740903539558606</v>
      </c>
      <c r="E73" s="24">
        <f t="shared" si="10"/>
        <v>1.1616504988926741</v>
      </c>
      <c r="F73" s="17">
        <f t="shared" si="11"/>
        <v>-0.43834950110732596</v>
      </c>
      <c r="G73" s="29">
        <f t="shared" si="12"/>
        <v>-0.675058231705282</v>
      </c>
      <c r="H73" s="57">
        <f t="shared" si="13"/>
        <v>0.9569417682947179</v>
      </c>
      <c r="I73" s="29">
        <f>H73*'出力'!$D$48+'出力'!$E$65*F73</f>
        <v>13.79839858652638</v>
      </c>
      <c r="J73" s="46">
        <f t="shared" si="5"/>
        <v>9.973752717512411</v>
      </c>
    </row>
    <row r="74" spans="2:10" ht="13.5">
      <c r="B74" s="56">
        <f t="shared" si="6"/>
        <v>8.522226783222303</v>
      </c>
      <c r="C74" s="24">
        <f t="shared" si="15"/>
        <v>74</v>
      </c>
      <c r="D74" s="24">
        <f t="shared" si="9"/>
        <v>1.2915436464758039</v>
      </c>
      <c r="E74" s="24">
        <f t="shared" si="10"/>
        <v>1.1031757881371285</v>
      </c>
      <c r="F74" s="17">
        <f t="shared" si="11"/>
        <v>-0.4968242118628716</v>
      </c>
      <c r="G74" s="29">
        <f t="shared" si="12"/>
        <v>-0.7651092862688224</v>
      </c>
      <c r="H74" s="57">
        <f t="shared" si="13"/>
        <v>0.8668907137311775</v>
      </c>
      <c r="I74" s="29">
        <f>H74*'出力'!$D$48+'出力'!$E$65*F74</f>
        <v>11.502681442263658</v>
      </c>
      <c r="J74" s="46">
        <f t="shared" si="5"/>
        <v>8.522226783222303</v>
      </c>
    </row>
    <row r="75" spans="2:10" ht="13.5">
      <c r="B75" s="56">
        <f t="shared" si="6"/>
        <v>7.007257863120281</v>
      </c>
      <c r="C75" s="24">
        <f t="shared" si="15"/>
        <v>75</v>
      </c>
      <c r="D75" s="24">
        <f t="shared" si="9"/>
        <v>1.3089969389957472</v>
      </c>
      <c r="E75" s="24">
        <f t="shared" si="10"/>
        <v>1.045283512687858</v>
      </c>
      <c r="F75" s="17">
        <f t="shared" si="11"/>
        <v>-0.5547164873121422</v>
      </c>
      <c r="G75" s="29">
        <f t="shared" si="12"/>
        <v>-0.854263390460699</v>
      </c>
      <c r="H75" s="57">
        <f t="shared" si="13"/>
        <v>0.7777366095393009</v>
      </c>
      <c r="I75" s="29">
        <f>H75*'出力'!$D$48+'出力'!$E$65*F75</f>
        <v>9.229830708125295</v>
      </c>
      <c r="J75" s="46">
        <f t="shared" si="5"/>
        <v>7.007257863120281</v>
      </c>
    </row>
    <row r="76" spans="2:10" ht="13.5">
      <c r="B76" s="56">
        <f t="shared" si="6"/>
        <v>5.427281935308112</v>
      </c>
      <c r="C76" s="24">
        <f t="shared" si="15"/>
        <v>76</v>
      </c>
      <c r="D76" s="24">
        <f t="shared" si="9"/>
        <v>1.3264502315156903</v>
      </c>
      <c r="E76" s="24">
        <f t="shared" si="10"/>
        <v>0.9879302487569971</v>
      </c>
      <c r="F76" s="17">
        <f t="shared" si="11"/>
        <v>-0.612069751243003</v>
      </c>
      <c r="G76" s="29">
        <f t="shared" si="12"/>
        <v>-0.9425874169142247</v>
      </c>
      <c r="H76" s="57">
        <f t="shared" si="13"/>
        <v>0.6894125830857752</v>
      </c>
      <c r="I76" s="29">
        <f>H76*'出力'!$D$48+'出力'!$E$65*F76</f>
        <v>6.9781415661997</v>
      </c>
      <c r="J76" s="46">
        <f t="shared" si="5"/>
        <v>5.427281935308112</v>
      </c>
    </row>
    <row r="77" spans="1:10" ht="15">
      <c r="A77" s="53" t="s">
        <v>383</v>
      </c>
      <c r="B77" s="58">
        <f>MAX(B30:B76)</f>
        <v>26.832550934117677</v>
      </c>
      <c r="C77" s="59">
        <f>VLOOKUP($B$77,$B$30:$J$76,2,FALSE)</f>
        <v>50</v>
      </c>
      <c r="D77" s="59">
        <f>VLOOKUP($B$77,$B$30:$J$76,3,FALSE)</f>
        <v>0.8726646259971648</v>
      </c>
      <c r="E77" s="59">
        <f>VLOOKUP($B$77,$B$30:$J$76,4,FALSE)</f>
        <v>2.8044268640260226</v>
      </c>
      <c r="F77" s="59">
        <f>VLOOKUP($B$77,$B$30:$J$76,5,FALSE)</f>
        <v>1.2044268640260225</v>
      </c>
      <c r="G77" s="59">
        <f>VLOOKUP($B$77,$B$30:$J$76,6,FALSE)</f>
        <v>1.8548173706000748</v>
      </c>
      <c r="H77" s="59">
        <f>VLOOKUP($B$77,$B$30:$J$76,7,FALSE)</f>
        <v>3.4868173706000745</v>
      </c>
      <c r="I77" s="59">
        <f>VLOOKUP($B$77,$B$30:$J$76,8,FALSE)</f>
        <v>78.29379868166164</v>
      </c>
      <c r="J77" s="60"/>
    </row>
    <row r="82" spans="2:5" ht="13.5">
      <c r="B82" s="9"/>
      <c r="C82" s="9"/>
      <c r="D82" s="9"/>
      <c r="E82" s="9"/>
    </row>
    <row r="84" ht="13.5">
      <c r="B84" s="61"/>
    </row>
    <row r="85" spans="2:10" ht="13.5">
      <c r="B85" s="61"/>
      <c r="C85" s="20" t="s">
        <v>367</v>
      </c>
      <c r="D85" s="21" t="s">
        <v>368</v>
      </c>
      <c r="E85" s="21" t="s">
        <v>371</v>
      </c>
      <c r="F85" s="55" t="s">
        <v>372</v>
      </c>
      <c r="G85" s="49" t="s">
        <v>373</v>
      </c>
      <c r="H85" s="49" t="s">
        <v>374</v>
      </c>
      <c r="I85" s="49" t="s">
        <v>375</v>
      </c>
      <c r="J85" s="50" t="s">
        <v>376</v>
      </c>
    </row>
    <row r="86" spans="2:10" ht="13.5">
      <c r="B86" s="61"/>
      <c r="C86">
        <f>C77-4</f>
        <v>46</v>
      </c>
      <c r="D86" s="24">
        <f aca="true" t="shared" si="16" ref="D86:D94">C86*PI()/180</f>
        <v>0.8028514559173915</v>
      </c>
      <c r="E86" s="24">
        <f aca="true" t="shared" si="17" ref="E86:E94">$D$28/TAN(D86)+$D$20</f>
        <v>3.194321426405789</v>
      </c>
      <c r="F86" s="17">
        <f aca="true" t="shared" si="18" ref="F86:F94">E86-$D$22</f>
        <v>1.5943214264057888</v>
      </c>
      <c r="G86" s="29">
        <f aca="true" t="shared" si="19" ref="G86:G94">0.5*F86*$D$28</f>
        <v>2.4552549966649146</v>
      </c>
      <c r="H86" s="57">
        <f aca="true" t="shared" si="20" ref="H86:H94">$F$16+$F$24+G86</f>
        <v>4.087254996664915</v>
      </c>
      <c r="I86" s="29">
        <f>H86*'出力'!$D$48+'出力'!$E$65*F86</f>
        <v>93.60105920069127</v>
      </c>
      <c r="J86" s="46">
        <f>SIN(D86-$H$25)*I86/COS(D86-$H$25-$H$27-$H$26)</f>
        <v>26.03177226787388</v>
      </c>
    </row>
    <row r="87" spans="3:10" ht="13.5">
      <c r="C87">
        <f>C86+1</f>
        <v>47</v>
      </c>
      <c r="D87" s="24">
        <f t="shared" si="16"/>
        <v>0.8203047484373349</v>
      </c>
      <c r="E87" s="24">
        <f t="shared" si="17"/>
        <v>3.092146465303998</v>
      </c>
      <c r="F87" s="17">
        <f t="shared" si="18"/>
        <v>1.492146465303998</v>
      </c>
      <c r="G87" s="29">
        <f t="shared" si="19"/>
        <v>2.297905556568157</v>
      </c>
      <c r="H87" s="57">
        <f t="shared" si="20"/>
        <v>3.9299055565681567</v>
      </c>
      <c r="I87" s="29">
        <f>H87*'出力'!$D$48+'出力'!$E$65*F87</f>
        <v>89.58967022783496</v>
      </c>
      <c r="J87" s="46">
        <f aca="true" t="shared" si="21" ref="J87:J94">SIN(D87-$H$25)*I87/COS(D87-$H$25-$H$27-$H$26)</f>
        <v>26.371025098923596</v>
      </c>
    </row>
    <row r="88" spans="3:10" ht="13.5">
      <c r="C88">
        <f aca="true" t="shared" si="22" ref="C88:C94">C87+1</f>
        <v>48</v>
      </c>
      <c r="D88" s="24">
        <f t="shared" si="16"/>
        <v>0.8377580409572781</v>
      </c>
      <c r="E88" s="24">
        <f t="shared" si="17"/>
        <v>2.9932444564373477</v>
      </c>
      <c r="F88" s="17">
        <f t="shared" si="18"/>
        <v>1.3932444564373476</v>
      </c>
      <c r="G88" s="29">
        <f t="shared" si="19"/>
        <v>2.1455964629135154</v>
      </c>
      <c r="H88" s="57">
        <f t="shared" si="20"/>
        <v>3.7775964629135155</v>
      </c>
      <c r="I88" s="29">
        <f>H88*'出力'!$D$48+'出力'!$E$65*F88</f>
        <v>85.70677735973027</v>
      </c>
      <c r="J88" s="46">
        <f t="shared" si="21"/>
        <v>26.614248047158526</v>
      </c>
    </row>
    <row r="89" spans="3:10" ht="13.5">
      <c r="C89">
        <f t="shared" si="22"/>
        <v>49</v>
      </c>
      <c r="D89" s="24">
        <f t="shared" si="16"/>
        <v>0.8552113334772214</v>
      </c>
      <c r="E89" s="24">
        <f t="shared" si="17"/>
        <v>2.8974031524739785</v>
      </c>
      <c r="F89" s="17">
        <f t="shared" si="18"/>
        <v>1.2974031524739784</v>
      </c>
      <c r="G89" s="29">
        <f t="shared" si="19"/>
        <v>1.9980008548099268</v>
      </c>
      <c r="H89" s="57">
        <f t="shared" si="20"/>
        <v>3.6300008548099267</v>
      </c>
      <c r="I89" s="29">
        <f>H89*'出力'!$D$48+'出力'!$E$65*F89</f>
        <v>81.94404776612839</v>
      </c>
      <c r="J89" s="46">
        <f t="shared" si="21"/>
        <v>26.766558403795287</v>
      </c>
    </row>
    <row r="90" spans="3:10" ht="13.5">
      <c r="C90">
        <f t="shared" si="22"/>
        <v>50</v>
      </c>
      <c r="D90" s="24">
        <f t="shared" si="16"/>
        <v>0.8726646259971648</v>
      </c>
      <c r="E90" s="24">
        <f t="shared" si="17"/>
        <v>2.8044268640260226</v>
      </c>
      <c r="F90" s="17">
        <f t="shared" si="18"/>
        <v>1.2044268640260225</v>
      </c>
      <c r="G90" s="29">
        <f t="shared" si="19"/>
        <v>1.8548173706000748</v>
      </c>
      <c r="H90" s="57">
        <f t="shared" si="20"/>
        <v>3.4868173706000745</v>
      </c>
      <c r="I90" s="29">
        <f>H90*'出力'!$D$48+'出力'!$E$65*F90</f>
        <v>78.29379868166164</v>
      </c>
      <c r="J90" s="46">
        <f t="shared" si="21"/>
        <v>26.832550934117677</v>
      </c>
    </row>
    <row r="91" spans="3:10" ht="13.5">
      <c r="C91">
        <f t="shared" si="22"/>
        <v>51</v>
      </c>
      <c r="D91" s="24">
        <f t="shared" si="16"/>
        <v>0.890117918517108</v>
      </c>
      <c r="E91" s="24">
        <f t="shared" si="17"/>
        <v>2.7141348222406227</v>
      </c>
      <c r="F91" s="17">
        <f t="shared" si="18"/>
        <v>1.1141348222406227</v>
      </c>
      <c r="G91" s="29">
        <f t="shared" si="19"/>
        <v>1.715767626250559</v>
      </c>
      <c r="H91" s="57">
        <f t="shared" si="20"/>
        <v>3.347767626250559</v>
      </c>
      <c r="I91" s="29">
        <f>H91*'出力'!$D$48+'出力'!$E$65*F91</f>
        <v>74.74893312116684</v>
      </c>
      <c r="J91" s="46">
        <f t="shared" si="21"/>
        <v>26.816347341486352</v>
      </c>
    </row>
    <row r="92" spans="3:10" ht="13.5">
      <c r="C92">
        <f t="shared" si="22"/>
        <v>52</v>
      </c>
      <c r="D92" s="24">
        <f t="shared" si="16"/>
        <v>0.9075712110370514</v>
      </c>
      <c r="E92" s="24">
        <f t="shared" si="17"/>
        <v>2.62635972964069</v>
      </c>
      <c r="F92" s="17">
        <f t="shared" si="18"/>
        <v>1.0263597296406899</v>
      </c>
      <c r="G92" s="29">
        <f t="shared" si="19"/>
        <v>1.5805939836466625</v>
      </c>
      <c r="H92" s="57">
        <f t="shared" si="20"/>
        <v>3.2125939836466624</v>
      </c>
      <c r="I92" s="29">
        <f>H92*'出力'!$D$48+'出力'!$E$65*F92</f>
        <v>71.30288298569349</v>
      </c>
      <c r="J92" s="46">
        <f t="shared" si="21"/>
        <v>26.721639607385537</v>
      </c>
    </row>
    <row r="93" spans="3:10" ht="13.5">
      <c r="C93">
        <f t="shared" si="22"/>
        <v>53</v>
      </c>
      <c r="D93" s="24">
        <f t="shared" si="16"/>
        <v>0.9250245035569946</v>
      </c>
      <c r="E93" s="24">
        <f t="shared" si="17"/>
        <v>2.540946474316607</v>
      </c>
      <c r="F93" s="17">
        <f t="shared" si="18"/>
        <v>0.9409464743166067</v>
      </c>
      <c r="G93" s="29">
        <f t="shared" si="19"/>
        <v>1.4490575704475743</v>
      </c>
      <c r="H93" s="57">
        <f t="shared" si="20"/>
        <v>3.081057570447574</v>
      </c>
      <c r="I93" s="29">
        <f>H93*'出力'!$D$48+'出力'!$E$65*F93</f>
        <v>67.94955858166998</v>
      </c>
      <c r="J93" s="46">
        <f t="shared" si="21"/>
        <v>26.551728007252763</v>
      </c>
    </row>
    <row r="94" spans="3:10" ht="13.5">
      <c r="C94" s="62">
        <f t="shared" si="22"/>
        <v>54</v>
      </c>
      <c r="D94" s="33">
        <f t="shared" si="16"/>
        <v>0.9424777960769379</v>
      </c>
      <c r="E94" s="33">
        <f t="shared" si="17"/>
        <v>2.457750986256512</v>
      </c>
      <c r="F94" s="63">
        <f t="shared" si="18"/>
        <v>0.8577509862565118</v>
      </c>
      <c r="G94" s="47">
        <f t="shared" si="19"/>
        <v>1.3209365188350282</v>
      </c>
      <c r="H94" s="64">
        <f t="shared" si="20"/>
        <v>2.952936518835028</v>
      </c>
      <c r="I94" s="47">
        <f>H94*'出力'!$D$48+'出力'!$E$65*F94</f>
        <v>64.68330372043066</v>
      </c>
      <c r="J94" s="48">
        <f t="shared" si="21"/>
        <v>26.309554480514958</v>
      </c>
    </row>
  </sheetData>
  <sheetProtection sheet="1" objects="1" scenarios="1"/>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1:P984"/>
  <sheetViews>
    <sheetView workbookViewId="0" topLeftCell="B1">
      <selection activeCell="D6" sqref="D6"/>
    </sheetView>
  </sheetViews>
  <sheetFormatPr defaultColWidth="9.00390625" defaultRowHeight="13.5"/>
  <cols>
    <col min="1" max="3" width="9.00390625" style="70" customWidth="1"/>
    <col min="4" max="4" width="9.125" style="70" bestFit="1" customWidth="1"/>
    <col min="5" max="16384" width="9.00390625" style="70" customWidth="1"/>
  </cols>
  <sheetData>
    <row r="1" ht="13.5">
      <c r="A1" s="70" t="s">
        <v>538</v>
      </c>
    </row>
    <row r="2" spans="3:13" s="69" customFormat="1" ht="13.5">
      <c r="C2" s="71" t="s">
        <v>469</v>
      </c>
      <c r="D2" s="71">
        <f>データ!B86</f>
        <v>1</v>
      </c>
      <c r="E2" s="71" t="str">
        <f>データ!C86</f>
        <v>全体載荷</v>
      </c>
      <c r="F2" s="71"/>
      <c r="G2" s="71"/>
      <c r="H2" s="71"/>
      <c r="M2" s="69" t="s">
        <v>517</v>
      </c>
    </row>
    <row r="3" spans="3:15" s="69" customFormat="1" ht="13.5">
      <c r="C3" s="71" t="s">
        <v>470</v>
      </c>
      <c r="D3" s="71">
        <f>'入力画面'!E17</f>
        <v>19</v>
      </c>
      <c r="E3" s="71" t="s">
        <v>471</v>
      </c>
      <c r="F3" s="71"/>
      <c r="G3" s="71"/>
      <c r="H3" s="71"/>
      <c r="M3" s="76" t="s">
        <v>518</v>
      </c>
      <c r="N3" s="77">
        <f>C984</f>
        <v>56.62179999999999</v>
      </c>
      <c r="O3" s="78" t="s">
        <v>523</v>
      </c>
    </row>
    <row r="4" spans="3:15" s="69" customFormat="1" ht="13.5">
      <c r="C4" s="71" t="s">
        <v>472</v>
      </c>
      <c r="D4" s="71">
        <f>'入力画面'!E18</f>
        <v>30</v>
      </c>
      <c r="E4" s="71" t="s">
        <v>473</v>
      </c>
      <c r="F4" s="71">
        <f>D4*PI()/180</f>
        <v>0.5235987755982988</v>
      </c>
      <c r="G4" s="71" t="s">
        <v>474</v>
      </c>
      <c r="H4" s="71"/>
      <c r="M4" s="79" t="s">
        <v>421</v>
      </c>
      <c r="N4" s="80">
        <f>D984</f>
        <v>71</v>
      </c>
      <c r="O4" s="81" t="s">
        <v>523</v>
      </c>
    </row>
    <row r="5" spans="3:15" s="69" customFormat="1" ht="13.5">
      <c r="C5" s="71" t="s">
        <v>475</v>
      </c>
      <c r="D5" s="71">
        <f>'入力画面'!E26</f>
        <v>10</v>
      </c>
      <c r="E5" s="71" t="s">
        <v>476</v>
      </c>
      <c r="F5" s="71"/>
      <c r="G5" s="71"/>
      <c r="H5" s="71"/>
      <c r="M5" s="79" t="s">
        <v>519</v>
      </c>
      <c r="N5" s="80">
        <f>G984</f>
        <v>99.73080589064196</v>
      </c>
      <c r="O5" s="81" t="s">
        <v>276</v>
      </c>
    </row>
    <row r="6" spans="3:15" s="69" customFormat="1" ht="13.5">
      <c r="C6" s="71" t="s">
        <v>477</v>
      </c>
      <c r="D6" s="71">
        <f>IF(D2=1,D5,0)</f>
        <v>10</v>
      </c>
      <c r="E6" s="71" t="s">
        <v>476</v>
      </c>
      <c r="F6" s="71"/>
      <c r="G6" s="71"/>
      <c r="H6" s="71"/>
      <c r="M6" s="79" t="s">
        <v>520</v>
      </c>
      <c r="N6" s="80">
        <f>H984</f>
        <v>37.50992049257642</v>
      </c>
      <c r="O6" s="81" t="s">
        <v>276</v>
      </c>
    </row>
    <row r="7" spans="3:15" s="69" customFormat="1" ht="13.5">
      <c r="C7" s="71" t="s">
        <v>478</v>
      </c>
      <c r="D7" s="71">
        <f>'入力画面'!E15</f>
        <v>1</v>
      </c>
      <c r="E7" s="71" t="s">
        <v>479</v>
      </c>
      <c r="F7" s="71"/>
      <c r="G7" s="71"/>
      <c r="H7" s="71"/>
      <c r="M7" s="79" t="s">
        <v>521</v>
      </c>
      <c r="N7" s="80">
        <f>O984</f>
        <v>66.50596951100609</v>
      </c>
      <c r="O7" s="81" t="s">
        <v>276</v>
      </c>
    </row>
    <row r="8" spans="3:15" s="69" customFormat="1" ht="13.5">
      <c r="C8" s="71" t="s">
        <v>480</v>
      </c>
      <c r="D8" s="71">
        <f>'入力画面'!E2</f>
        <v>2.5</v>
      </c>
      <c r="E8" s="71" t="s">
        <v>479</v>
      </c>
      <c r="F8" s="71"/>
      <c r="G8" s="71"/>
      <c r="H8" s="71"/>
      <c r="M8" s="79" t="s">
        <v>381</v>
      </c>
      <c r="N8" s="80">
        <f>P984</f>
        <v>0.282881768121677</v>
      </c>
      <c r="O8" s="81" t="s">
        <v>378</v>
      </c>
    </row>
    <row r="9" spans="3:15" s="69" customFormat="1" ht="13.5">
      <c r="C9" s="71" t="s">
        <v>481</v>
      </c>
      <c r="D9" s="71">
        <f>D7+D8</f>
        <v>3.5</v>
      </c>
      <c r="E9" s="71" t="s">
        <v>479</v>
      </c>
      <c r="F9" s="71"/>
      <c r="G9" s="71"/>
      <c r="H9" s="71"/>
      <c r="M9" s="79" t="s">
        <v>381</v>
      </c>
      <c r="N9" s="80">
        <f>N8*180/PI()</f>
        <v>16.207931414570485</v>
      </c>
      <c r="O9" s="81" t="s">
        <v>523</v>
      </c>
    </row>
    <row r="10" spans="3:15" s="69" customFormat="1" ht="13.5">
      <c r="C10" s="71" t="s">
        <v>482</v>
      </c>
      <c r="D10" s="71">
        <f>'出力'!D47</f>
        <v>1.5</v>
      </c>
      <c r="E10" s="71"/>
      <c r="F10" s="71"/>
      <c r="G10" s="71"/>
      <c r="H10" s="71"/>
      <c r="M10" s="79" t="s">
        <v>419</v>
      </c>
      <c r="N10" s="80">
        <f>B984</f>
        <v>43.63184177946293</v>
      </c>
      <c r="O10" s="81" t="s">
        <v>276</v>
      </c>
    </row>
    <row r="11" spans="3:15" s="69" customFormat="1" ht="13.5">
      <c r="C11" s="71" t="s">
        <v>483</v>
      </c>
      <c r="D11" s="71">
        <f>'入力画面'!E14</f>
        <v>0</v>
      </c>
      <c r="E11" s="71" t="s">
        <v>479</v>
      </c>
      <c r="F11" s="71"/>
      <c r="G11" s="71"/>
      <c r="H11" s="71"/>
      <c r="M11" s="82" t="s">
        <v>522</v>
      </c>
      <c r="N11" s="83">
        <f>N10/COS(N8)</f>
        <v>45.437763133740916</v>
      </c>
      <c r="O11" s="84" t="s">
        <v>276</v>
      </c>
    </row>
    <row r="12" spans="3:8" s="69" customFormat="1" ht="13.5">
      <c r="C12" s="71" t="s">
        <v>484</v>
      </c>
      <c r="D12" s="71">
        <f>D10*D7</f>
        <v>1.5</v>
      </c>
      <c r="E12" s="71" t="s">
        <v>479</v>
      </c>
      <c r="F12" s="71"/>
      <c r="G12" s="71"/>
      <c r="H12" s="71"/>
    </row>
    <row r="13" spans="3:8" s="69" customFormat="1" ht="13.5">
      <c r="C13" s="71" t="s">
        <v>485</v>
      </c>
      <c r="D13" s="71">
        <f>'出力'!K200</f>
        <v>0.5</v>
      </c>
      <c r="E13" s="71" t="s">
        <v>479</v>
      </c>
      <c r="F13" s="71"/>
      <c r="G13" s="71"/>
      <c r="H13" s="71"/>
    </row>
    <row r="14" spans="3:8" s="69" customFormat="1" ht="13.5">
      <c r="C14" s="71" t="s">
        <v>486</v>
      </c>
      <c r="D14" s="71">
        <f>ATAN(1/D10)</f>
        <v>0.5880026035475675</v>
      </c>
      <c r="E14" s="71" t="s">
        <v>474</v>
      </c>
      <c r="F14" s="71">
        <f>D14*180/PI()</f>
        <v>33.690067525979785</v>
      </c>
      <c r="G14" s="71" t="s">
        <v>473</v>
      </c>
      <c r="H14" s="71"/>
    </row>
    <row r="15" spans="3:8" s="69" customFormat="1" ht="13.5">
      <c r="C15" s="71"/>
      <c r="D15" s="71"/>
      <c r="E15" s="71"/>
      <c r="F15" s="71"/>
      <c r="G15" s="71"/>
      <c r="H15" s="71"/>
    </row>
    <row r="16" spans="3:8" s="69" customFormat="1" ht="13.5">
      <c r="C16" s="71" t="s">
        <v>487</v>
      </c>
      <c r="D16" s="71">
        <f>ATAN(D8/(D12+D13))</f>
        <v>0.8960553845713439</v>
      </c>
      <c r="E16" s="71" t="s">
        <v>474</v>
      </c>
      <c r="F16" s="71">
        <f>D16*180/PI()</f>
        <v>51.34019174590991</v>
      </c>
      <c r="G16" s="71" t="s">
        <v>473</v>
      </c>
      <c r="H16" s="71"/>
    </row>
    <row r="17" spans="3:8" s="69" customFormat="1" ht="13.5">
      <c r="C17" s="71" t="s">
        <v>488</v>
      </c>
      <c r="D17" s="71">
        <f>ATAN(D9/D13)</f>
        <v>1.4288992721907328</v>
      </c>
      <c r="E17" s="71" t="s">
        <v>474</v>
      </c>
      <c r="F17" s="71">
        <f>D17*180/PI()</f>
        <v>81.86989764584403</v>
      </c>
      <c r="G17" s="71" t="s">
        <v>473</v>
      </c>
      <c r="H17" s="71"/>
    </row>
    <row r="18" spans="3:11" s="69" customFormat="1" ht="13.5">
      <c r="C18" s="71" t="s">
        <v>489</v>
      </c>
      <c r="D18" s="71"/>
      <c r="E18" s="71">
        <f>0.5*D9*D13</f>
        <v>0.875</v>
      </c>
      <c r="F18" s="71" t="s">
        <v>490</v>
      </c>
      <c r="G18" s="71">
        <f>E18*D3</f>
        <v>16.625</v>
      </c>
      <c r="H18" s="71" t="s">
        <v>491</v>
      </c>
      <c r="I18" s="71" t="s">
        <v>492</v>
      </c>
      <c r="J18" s="71">
        <f>D9/SIN(D17)</f>
        <v>3.5355339059327373</v>
      </c>
      <c r="K18" s="71" t="s">
        <v>493</v>
      </c>
    </row>
    <row r="19" spans="3:11" s="69" customFormat="1" ht="13.5">
      <c r="C19" s="71" t="s">
        <v>494</v>
      </c>
      <c r="D19" s="71"/>
      <c r="E19" s="71">
        <f>(D12+D13)*D9-0.5*D7*D12-0.5*D8*(D12+D13)</f>
        <v>3.75</v>
      </c>
      <c r="F19" s="71" t="s">
        <v>490</v>
      </c>
      <c r="G19" s="71">
        <f>E19*D3</f>
        <v>71.25</v>
      </c>
      <c r="H19" s="71" t="s">
        <v>491</v>
      </c>
      <c r="I19" s="71" t="s">
        <v>495</v>
      </c>
      <c r="J19" s="71">
        <f>PI()-D17-D14</f>
        <v>1.1246907778514927</v>
      </c>
      <c r="K19" s="71" t="s">
        <v>496</v>
      </c>
    </row>
    <row r="20" spans="5:8" s="69" customFormat="1" ht="13.5">
      <c r="E20" s="71"/>
      <c r="G20" s="71"/>
      <c r="H20" s="71"/>
    </row>
    <row r="21" spans="3:11" s="69" customFormat="1" ht="13.5">
      <c r="C21" s="71" t="s">
        <v>497</v>
      </c>
      <c r="D21" s="71">
        <f>$D$4--0.001</f>
        <v>30.001</v>
      </c>
      <c r="E21" s="71" t="s">
        <v>473</v>
      </c>
      <c r="F21" s="71" t="s">
        <v>498</v>
      </c>
      <c r="G21" s="71">
        <f>45+$D$4/2</f>
        <v>60</v>
      </c>
      <c r="H21" s="71" t="s">
        <v>473</v>
      </c>
      <c r="I21" s="69" t="s">
        <v>499</v>
      </c>
      <c r="J21" s="69">
        <f>ROUND((G21-D21)/5,0)</f>
        <v>6</v>
      </c>
      <c r="K21" s="71" t="s">
        <v>473</v>
      </c>
    </row>
    <row r="22" spans="3:11" s="69" customFormat="1" ht="13.5">
      <c r="C22" s="71" t="s">
        <v>500</v>
      </c>
      <c r="D22" s="71">
        <f>$G$21</f>
        <v>60</v>
      </c>
      <c r="E22" s="71" t="s">
        <v>473</v>
      </c>
      <c r="F22" s="71" t="s">
        <v>501</v>
      </c>
      <c r="G22" s="71">
        <v>90</v>
      </c>
      <c r="H22" s="71" t="s">
        <v>473</v>
      </c>
      <c r="I22" s="69" t="s">
        <v>468</v>
      </c>
      <c r="J22" s="69">
        <f>(G22-D22)/30</f>
        <v>1</v>
      </c>
      <c r="K22" s="71" t="s">
        <v>473</v>
      </c>
    </row>
    <row r="24" spans="9:11" s="69" customFormat="1" ht="13.5">
      <c r="I24" s="71" t="s">
        <v>502</v>
      </c>
      <c r="J24" s="71" t="s">
        <v>423</v>
      </c>
      <c r="K24" s="71" t="s">
        <v>424</v>
      </c>
    </row>
    <row r="25" spans="2:16" s="69" customFormat="1" ht="13.5">
      <c r="B25" s="69" t="s">
        <v>503</v>
      </c>
      <c r="C25" s="71" t="s">
        <v>504</v>
      </c>
      <c r="D25" s="71" t="s">
        <v>505</v>
      </c>
      <c r="E25" s="71" t="s">
        <v>506</v>
      </c>
      <c r="F25" s="71" t="s">
        <v>507</v>
      </c>
      <c r="G25" s="69" t="s">
        <v>508</v>
      </c>
      <c r="H25" s="69" t="s">
        <v>509</v>
      </c>
      <c r="I25" s="71" t="str">
        <f>"ω2&gt;ωc"</f>
        <v>ω2&gt;ωc</v>
      </c>
      <c r="J25" s="72" t="str">
        <f>"ωb&lt;ω2&lt;ωc"</f>
        <v>ωb&lt;ω2&lt;ωc</v>
      </c>
      <c r="K25" s="71" t="str">
        <f>"ω2&lt;ωb"</f>
        <v>ω2&lt;ωb</v>
      </c>
      <c r="L25" s="71" t="s">
        <v>510</v>
      </c>
      <c r="M25" s="71" t="s">
        <v>511</v>
      </c>
      <c r="N25" s="71" t="s">
        <v>512</v>
      </c>
      <c r="O25" s="69" t="s">
        <v>513</v>
      </c>
      <c r="P25" s="69" t="s">
        <v>514</v>
      </c>
    </row>
    <row r="26" spans="2:16" s="69" customFormat="1" ht="13.5">
      <c r="B26" s="71">
        <f>O26*SIN(F26-F$4)</f>
        <v>0.005563800068142957</v>
      </c>
      <c r="C26" s="71">
        <f>D21</f>
        <v>30.001</v>
      </c>
      <c r="D26" s="71">
        <f>D22</f>
        <v>60</v>
      </c>
      <c r="E26" s="71">
        <f>C26*PI()/180</f>
        <v>0.5236162288908188</v>
      </c>
      <c r="F26" s="71">
        <f>D26*PI()/180</f>
        <v>1.0471975511965976</v>
      </c>
      <c r="G26" s="71">
        <f>(0.5*$D$3*$D$9+$D$5)*$D$9/TAN(E26)</f>
        <v>262.17862334657684</v>
      </c>
      <c r="H26" s="71">
        <f>IF(D26&gt;$F$17,I26,IF(D26&lt;$F$16,K26,J26))</f>
        <v>56.61327536344993</v>
      </c>
      <c r="I26" s="71">
        <f aca="true" t="shared" si="0" ref="I26:I47">(0.5*$D$3*$D$9+$D$6)*$D$9/TAN(F26)</f>
        <v>87.39639699857963</v>
      </c>
      <c r="J26" s="71">
        <f aca="true" t="shared" si="1" ref="J26:J57">0.5*$J$18*N26*$D$3+$G$18</f>
        <v>56.61327536344993</v>
      </c>
      <c r="K26" s="71">
        <f aca="true" t="shared" si="2" ref="K26:K47">0.5*$D$3*$D$8^2*(1/TAN(F26)-1/TAN($D$16))+$G$19</f>
        <v>58.03017223313404</v>
      </c>
      <c r="L26" s="71">
        <f>F26+D$14</f>
        <v>1.6352001547441652</v>
      </c>
      <c r="M26" s="71">
        <f aca="true" t="shared" si="3" ref="M26:M57">J$18/SIN(L26)*SIN(J$19)</f>
        <v>3.196152422706631</v>
      </c>
      <c r="N26" s="71">
        <f>M26*SIN(D$17-F26)</f>
        <v>1.1905676074715958</v>
      </c>
      <c r="O26" s="71">
        <f>SIN(E26-F$4)/SIN(E26+F26-2*F$4)*(G26+H26)</f>
        <v>0.011127600136285916</v>
      </c>
      <c r="P26" s="71">
        <f>ATAN((O26*COS(F26-F$4)-H26)/(O26*SIN(F26-F$4)))</f>
        <v>-1.5706980327595679</v>
      </c>
    </row>
    <row r="27" spans="2:16" s="69" customFormat="1" ht="13.5">
      <c r="B27" s="71">
        <f aca="true" t="shared" si="4" ref="B27:B90">O27*SIN(F27-F$4)</f>
        <v>0.005534209221514179</v>
      </c>
      <c r="C27" s="69">
        <f>C26</f>
        <v>30.001</v>
      </c>
      <c r="D27" s="69">
        <f>D26+J22</f>
        <v>61</v>
      </c>
      <c r="E27" s="71">
        <f aca="true" t="shared" si="5" ref="E27:E41">C27*PI()/180</f>
        <v>0.5236162288908188</v>
      </c>
      <c r="F27" s="71">
        <f aca="true" t="shared" si="6" ref="F27:F41">D27*PI()/180</f>
        <v>1.064650843716541</v>
      </c>
      <c r="G27" s="71">
        <f aca="true" t="shared" si="7" ref="G27:G47">(0.5*$D$3*$D$9+$D$5)*$D$9/TAN(E27)</f>
        <v>262.17862334657684</v>
      </c>
      <c r="H27" s="71">
        <f aca="true" t="shared" si="8" ref="H27:H47">IF(D27&gt;$F$17,I27,IF(D27&lt;$F$16,K27,J27))</f>
        <v>54.91741842603781</v>
      </c>
      <c r="I27" s="71">
        <f t="shared" si="0"/>
        <v>83.90853266366291</v>
      </c>
      <c r="J27" s="71">
        <f t="shared" si="1"/>
        <v>54.91741842603781</v>
      </c>
      <c r="K27" s="71">
        <f t="shared" si="2"/>
        <v>56.662099930008154</v>
      </c>
      <c r="L27" s="71">
        <f aca="true" t="shared" si="9" ref="L27:L47">F27+D$14</f>
        <v>1.6526534472641083</v>
      </c>
      <c r="M27" s="71">
        <f t="shared" si="3"/>
        <v>3.200241894286732</v>
      </c>
      <c r="N27" s="71">
        <f aca="true" t="shared" si="10" ref="N27:N47">M27*SIN(D$17-F27)</f>
        <v>1.1400769994561701</v>
      </c>
      <c r="O27" s="71">
        <f aca="true" t="shared" si="11" ref="O27:O47">SIN(E27-F$4)/SIN(E27+F27-2*F$4)*(G27+H27)</f>
        <v>0.010745242907489256</v>
      </c>
      <c r="P27" s="71">
        <f aca="true" t="shared" si="12" ref="P27:P47">ATAN((O27*COS(F27-F$4)-H27)/(O27*SIN(F27-F$4)))</f>
        <v>-1.5706955365959652</v>
      </c>
    </row>
    <row r="28" spans="2:16" s="69" customFormat="1" ht="13.5">
      <c r="B28" s="71">
        <f t="shared" si="4"/>
        <v>0.005504533047333168</v>
      </c>
      <c r="C28" s="69">
        <f aca="true" t="shared" si="13" ref="C28:C56">C27</f>
        <v>30.001</v>
      </c>
      <c r="D28" s="69">
        <f>D27+J22</f>
        <v>62</v>
      </c>
      <c r="E28" s="71">
        <f t="shared" si="5"/>
        <v>0.5236162288908188</v>
      </c>
      <c r="F28" s="71">
        <f t="shared" si="6"/>
        <v>1.0821041362364843</v>
      </c>
      <c r="G28" s="71">
        <f t="shared" si="7"/>
        <v>262.17862334657684</v>
      </c>
      <c r="H28" s="71">
        <f t="shared" si="8"/>
        <v>53.21669751699319</v>
      </c>
      <c r="I28" s="71">
        <f t="shared" si="0"/>
        <v>80.48751521775635</v>
      </c>
      <c r="J28" s="71">
        <f t="shared" si="1"/>
        <v>53.21669751699319</v>
      </c>
      <c r="K28" s="71">
        <f t="shared" si="2"/>
        <v>55.3202475049003</v>
      </c>
      <c r="L28" s="71">
        <f t="shared" si="9"/>
        <v>1.6701067397840519</v>
      </c>
      <c r="M28" s="71">
        <f t="shared" si="3"/>
        <v>3.205319466443784</v>
      </c>
      <c r="N28" s="71">
        <f t="shared" si="10"/>
        <v>1.0894415768165406</v>
      </c>
      <c r="O28" s="71">
        <f t="shared" si="11"/>
        <v>0.01038749375397448</v>
      </c>
      <c r="P28" s="71">
        <f t="shared" si="12"/>
        <v>-1.5706928734688792</v>
      </c>
    </row>
    <row r="29" spans="2:16" s="69" customFormat="1" ht="13.5">
      <c r="B29" s="71">
        <f t="shared" si="4"/>
        <v>0.005474753048287828</v>
      </c>
      <c r="C29" s="69">
        <f t="shared" si="13"/>
        <v>30.001</v>
      </c>
      <c r="D29" s="69">
        <f>D28+J22</f>
        <v>63</v>
      </c>
      <c r="E29" s="71">
        <f t="shared" si="5"/>
        <v>0.5236162288908188</v>
      </c>
      <c r="F29" s="71">
        <f t="shared" si="6"/>
        <v>1.0995574287564276</v>
      </c>
      <c r="G29" s="71">
        <f t="shared" si="7"/>
        <v>262.17862334657684</v>
      </c>
      <c r="H29" s="71">
        <f t="shared" si="8"/>
        <v>51.51005054407396</v>
      </c>
      <c r="I29" s="71">
        <f t="shared" si="0"/>
        <v>77.12941491721917</v>
      </c>
      <c r="J29" s="71">
        <f t="shared" si="1"/>
        <v>51.51005054407396</v>
      </c>
      <c r="K29" s="71">
        <f t="shared" si="2"/>
        <v>54.00307356373172</v>
      </c>
      <c r="L29" s="71">
        <f t="shared" si="9"/>
        <v>1.687560032303995</v>
      </c>
      <c r="M29" s="71">
        <f t="shared" si="3"/>
        <v>3.2113929525108333</v>
      </c>
      <c r="N29" s="71">
        <f t="shared" si="10"/>
        <v>1.0386297179684278</v>
      </c>
      <c r="O29" s="71">
        <f t="shared" si="11"/>
        <v>0.010052076139083155</v>
      </c>
      <c r="P29" s="71">
        <f t="shared" si="12"/>
        <v>-1.5706900242550879</v>
      </c>
    </row>
    <row r="30" spans="2:16" s="69" customFormat="1" ht="13.5">
      <c r="B30" s="71">
        <f t="shared" si="4"/>
        <v>0.005444850466412552</v>
      </c>
      <c r="C30" s="69">
        <f t="shared" si="13"/>
        <v>30.001</v>
      </c>
      <c r="D30" s="69">
        <f>D29+J22</f>
        <v>64</v>
      </c>
      <c r="E30" s="71">
        <f t="shared" si="5"/>
        <v>0.5236162288908188</v>
      </c>
      <c r="F30" s="71">
        <f t="shared" si="6"/>
        <v>1.117010721276371</v>
      </c>
      <c r="G30" s="71">
        <f t="shared" si="7"/>
        <v>262.17862334657684</v>
      </c>
      <c r="H30" s="71">
        <f t="shared" si="8"/>
        <v>49.7964007486329</v>
      </c>
      <c r="I30" s="71">
        <f t="shared" si="0"/>
        <v>73.83052059415728</v>
      </c>
      <c r="J30" s="71">
        <f t="shared" si="1"/>
        <v>49.7964007486329</v>
      </c>
      <c r="K30" s="71">
        <f t="shared" si="2"/>
        <v>52.70912244609802</v>
      </c>
      <c r="L30" s="71">
        <f t="shared" si="9"/>
        <v>1.7050133248239385</v>
      </c>
      <c r="M30" s="71">
        <f t="shared" si="3"/>
        <v>3.21847173736185</v>
      </c>
      <c r="N30" s="71">
        <f t="shared" si="10"/>
        <v>0.9876093646658881</v>
      </c>
      <c r="O30" s="71">
        <f t="shared" si="11"/>
        <v>0.009736980624428451</v>
      </c>
      <c r="P30" s="71">
        <f t="shared" si="12"/>
        <v>-1.5706869668180334</v>
      </c>
    </row>
    <row r="31" spans="2:16" s="69" customFormat="1" ht="13.5">
      <c r="B31" s="71">
        <f t="shared" si="4"/>
        <v>0.005414806235530785</v>
      </c>
      <c r="C31" s="69">
        <f t="shared" si="13"/>
        <v>30.001</v>
      </c>
      <c r="D31" s="69">
        <f>D30+J22</f>
        <v>65</v>
      </c>
      <c r="E31" s="71">
        <f t="shared" si="5"/>
        <v>0.5236162288908188</v>
      </c>
      <c r="F31" s="71">
        <f t="shared" si="6"/>
        <v>1.1344640137963142</v>
      </c>
      <c r="G31" s="71">
        <f t="shared" si="7"/>
        <v>262.17862334657684</v>
      </c>
      <c r="H31" s="71">
        <f t="shared" si="8"/>
        <v>48.07465394252364</v>
      </c>
      <c r="I31" s="71">
        <f t="shared" si="0"/>
        <v>70.58732175321292</v>
      </c>
      <c r="J31" s="71">
        <f t="shared" si="1"/>
        <v>48.07465394252364</v>
      </c>
      <c r="K31" s="71">
        <f t="shared" si="2"/>
        <v>51.43701720295304</v>
      </c>
      <c r="L31" s="71">
        <f t="shared" si="9"/>
        <v>1.7224666173438816</v>
      </c>
      <c r="M31" s="71">
        <f t="shared" si="3"/>
        <v>3.2265668130425462</v>
      </c>
      <c r="N31" s="71">
        <f t="shared" si="10"/>
        <v>0.9363479397359457</v>
      </c>
      <c r="O31" s="71">
        <f t="shared" si="11"/>
        <v>0.009440426580245288</v>
      </c>
      <c r="P31" s="71">
        <f t="shared" si="12"/>
        <v>-1.5706836753888411</v>
      </c>
    </row>
    <row r="32" spans="2:16" s="69" customFormat="1" ht="13.5">
      <c r="B32" s="71">
        <f t="shared" si="4"/>
        <v>0.00538460093196481</v>
      </c>
      <c r="C32" s="69">
        <f t="shared" si="13"/>
        <v>30.001</v>
      </c>
      <c r="D32" s="69">
        <f>D31+J22</f>
        <v>66</v>
      </c>
      <c r="E32" s="71">
        <f t="shared" si="5"/>
        <v>0.5236162288908188</v>
      </c>
      <c r="F32" s="71">
        <f t="shared" si="6"/>
        <v>1.1519173063162575</v>
      </c>
      <c r="G32" s="71">
        <f t="shared" si="7"/>
        <v>262.17862334657684</v>
      </c>
      <c r="H32" s="71">
        <f t="shared" si="8"/>
        <v>46.34369565210348</v>
      </c>
      <c r="I32" s="71">
        <f t="shared" si="0"/>
        <v>67.39649223857965</v>
      </c>
      <c r="J32" s="71">
        <f t="shared" si="1"/>
        <v>46.34369565210348</v>
      </c>
      <c r="K32" s="71">
        <f t="shared" si="2"/>
        <v>50.18545319019432</v>
      </c>
      <c r="L32" s="71">
        <f t="shared" si="9"/>
        <v>1.7399199098638252</v>
      </c>
      <c r="M32" s="71">
        <f t="shared" si="3"/>
        <v>3.235690820800044</v>
      </c>
      <c r="N32" s="71">
        <f t="shared" si="10"/>
        <v>0.8848122620472225</v>
      </c>
      <c r="O32" s="71">
        <f t="shared" si="11"/>
        <v>0.009160830270858024</v>
      </c>
      <c r="P32" s="71">
        <f t="shared" si="12"/>
        <v>-1.5706801197882445</v>
      </c>
    </row>
    <row r="33" spans="2:16" s="69" customFormat="1" ht="13.5">
      <c r="B33" s="71">
        <f t="shared" si="4"/>
        <v>0.005354214723251448</v>
      </c>
      <c r="C33" s="69">
        <f t="shared" si="13"/>
        <v>30.001</v>
      </c>
      <c r="D33" s="69">
        <f>D32+J22</f>
        <v>67</v>
      </c>
      <c r="E33" s="71">
        <f t="shared" si="5"/>
        <v>0.5236162288908188</v>
      </c>
      <c r="F33" s="71">
        <f t="shared" si="6"/>
        <v>1.1693705988362006</v>
      </c>
      <c r="G33" s="71">
        <f t="shared" si="7"/>
        <v>262.17862334657684</v>
      </c>
      <c r="H33" s="71">
        <f t="shared" si="8"/>
        <v>44.602388153158174</v>
      </c>
      <c r="I33" s="71">
        <f t="shared" si="0"/>
        <v>64.25487530372895</v>
      </c>
      <c r="J33" s="71">
        <f t="shared" si="1"/>
        <v>44.602388153158174</v>
      </c>
      <c r="K33" s="71">
        <f t="shared" si="2"/>
        <v>48.95319221244529</v>
      </c>
      <c r="L33" s="71">
        <f t="shared" si="9"/>
        <v>1.7573732023837683</v>
      </c>
      <c r="M33" s="71">
        <f t="shared" si="3"/>
        <v>3.2458580998131934</v>
      </c>
      <c r="N33" s="71">
        <f t="shared" si="10"/>
        <v>0.8329684582310031</v>
      </c>
      <c r="O33" s="71">
        <f t="shared" si="11"/>
        <v>0.008896778108343615</v>
      </c>
      <c r="P33" s="71">
        <f t="shared" si="12"/>
        <v>-1.5706762644395775</v>
      </c>
    </row>
    <row r="34" spans="2:16" s="69" customFormat="1" ht="13.5">
      <c r="B34" s="71">
        <f t="shared" si="4"/>
        <v>0.0053236273145803314</v>
      </c>
      <c r="C34" s="69">
        <f t="shared" si="13"/>
        <v>30.001</v>
      </c>
      <c r="D34" s="69">
        <f>D33+J22</f>
        <v>68</v>
      </c>
      <c r="E34" s="71">
        <f t="shared" si="5"/>
        <v>0.5236162288908188</v>
      </c>
      <c r="F34" s="71">
        <f t="shared" si="6"/>
        <v>1.1868238913561442</v>
      </c>
      <c r="G34" s="71">
        <f t="shared" si="7"/>
        <v>262.17862334657684</v>
      </c>
      <c r="H34" s="71">
        <f t="shared" si="8"/>
        <v>42.84956737955771</v>
      </c>
      <c r="I34" s="71">
        <f t="shared" si="0"/>
        <v>61.15946993579685</v>
      </c>
      <c r="J34" s="71">
        <f t="shared" si="1"/>
        <v>42.84956737955771</v>
      </c>
      <c r="K34" s="71">
        <f t="shared" si="2"/>
        <v>47.739057158962424</v>
      </c>
      <c r="L34" s="71">
        <f t="shared" si="9"/>
        <v>1.7748264949037118</v>
      </c>
      <c r="M34" s="71">
        <f t="shared" si="3"/>
        <v>3.2570847429771757</v>
      </c>
      <c r="N34" s="71">
        <f t="shared" si="10"/>
        <v>0.7807818706428962</v>
      </c>
      <c r="O34" s="71">
        <f t="shared" si="11"/>
        <v>0.00864700412148472</v>
      </c>
      <c r="P34" s="71">
        <f t="shared" si="12"/>
        <v>-1.5706720671043115</v>
      </c>
    </row>
    <row r="35" spans="2:16" s="69" customFormat="1" ht="13.5">
      <c r="B35" s="71">
        <f t="shared" si="4"/>
        <v>0.00529281789264705</v>
      </c>
      <c r="C35" s="69">
        <f t="shared" si="13"/>
        <v>30.001</v>
      </c>
      <c r="D35" s="69">
        <f>D34+J22</f>
        <v>69</v>
      </c>
      <c r="E35" s="71">
        <f t="shared" si="5"/>
        <v>0.5236162288908188</v>
      </c>
      <c r="F35" s="71">
        <f t="shared" si="6"/>
        <v>1.2042771838760873</v>
      </c>
      <c r="G35" s="71">
        <f t="shared" si="7"/>
        <v>262.17862334657684</v>
      </c>
      <c r="H35" s="71">
        <f t="shared" si="8"/>
        <v>41.08403968726031</v>
      </c>
      <c r="I35" s="71">
        <f t="shared" si="0"/>
        <v>58.107418303486085</v>
      </c>
      <c r="J35" s="71">
        <f t="shared" si="1"/>
        <v>41.08403968726031</v>
      </c>
      <c r="K35" s="71">
        <f t="shared" si="2"/>
        <v>46.54192708022782</v>
      </c>
      <c r="L35" s="71">
        <f t="shared" si="9"/>
        <v>1.792279787423655</v>
      </c>
      <c r="M35" s="71">
        <f t="shared" si="3"/>
        <v>3.2693886601519666</v>
      </c>
      <c r="N35" s="71">
        <f t="shared" si="10"/>
        <v>0.7282169610177962</v>
      </c>
      <c r="O35" s="71">
        <f t="shared" si="11"/>
        <v>0.008410370882496796</v>
      </c>
      <c r="P35" s="71">
        <f t="shared" si="12"/>
        <v>-1.5706674772446731</v>
      </c>
    </row>
    <row r="36" spans="2:16" s="69" customFormat="1" ht="13.5">
      <c r="B36" s="71">
        <f t="shared" si="4"/>
        <v>0.005261765066586799</v>
      </c>
      <c r="C36" s="69">
        <f t="shared" si="13"/>
        <v>30.001</v>
      </c>
      <c r="D36" s="69">
        <f>D35+J22</f>
        <v>70</v>
      </c>
      <c r="E36" s="71">
        <f t="shared" si="5"/>
        <v>0.5236162288908188</v>
      </c>
      <c r="F36" s="71">
        <f t="shared" si="6"/>
        <v>1.2217304763960306</v>
      </c>
      <c r="G36" s="71">
        <f t="shared" si="7"/>
        <v>262.17862334657684</v>
      </c>
      <c r="H36" s="71">
        <f t="shared" si="8"/>
        <v>39.30457845389725</v>
      </c>
      <c r="I36" s="71">
        <f t="shared" si="0"/>
        <v>55.09599421204639</v>
      </c>
      <c r="J36" s="71">
        <f t="shared" si="1"/>
        <v>39.30457845389725</v>
      </c>
      <c r="K36" s="71">
        <f t="shared" si="2"/>
        <v>45.360732659555765</v>
      </c>
      <c r="L36" s="71">
        <f t="shared" si="9"/>
        <v>1.809733079943598</v>
      </c>
      <c r="M36" s="71">
        <f t="shared" si="3"/>
        <v>3.2827896493451227</v>
      </c>
      <c r="N36" s="71">
        <f t="shared" si="10"/>
        <v>0.6752372092296027</v>
      </c>
      <c r="O36" s="71">
        <f t="shared" si="11"/>
        <v>0.008185853285430849</v>
      </c>
      <c r="P36" s="71">
        <f t="shared" si="12"/>
        <v>-1.5706624338783932</v>
      </c>
    </row>
    <row r="37" spans="2:16" s="69" customFormat="1" ht="13.5">
      <c r="B37" s="71">
        <f t="shared" si="4"/>
        <v>0.00523044680562415</v>
      </c>
      <c r="C37" s="69">
        <f t="shared" si="13"/>
        <v>30.001</v>
      </c>
      <c r="D37" s="69">
        <f>D36+J22</f>
        <v>71</v>
      </c>
      <c r="E37" s="71">
        <f t="shared" si="5"/>
        <v>0.5236162288908188</v>
      </c>
      <c r="F37" s="71">
        <f t="shared" si="6"/>
        <v>1.239183768915974</v>
      </c>
      <c r="G37" s="71">
        <f t="shared" si="7"/>
        <v>262.17862334657684</v>
      </c>
      <c r="H37" s="71">
        <f t="shared" si="8"/>
        <v>37.50992049257642</v>
      </c>
      <c r="I37" s="71">
        <f t="shared" si="0"/>
        <v>52.12259246172309</v>
      </c>
      <c r="J37" s="71">
        <f t="shared" si="1"/>
        <v>37.50992049257642</v>
      </c>
      <c r="K37" s="71">
        <f t="shared" si="2"/>
        <v>44.19445203907388</v>
      </c>
      <c r="L37" s="71">
        <f t="shared" si="9"/>
        <v>1.8271863724635415</v>
      </c>
      <c r="M37" s="71">
        <f t="shared" si="3"/>
        <v>3.297309476365921</v>
      </c>
      <c r="N37" s="71">
        <f t="shared" si="10"/>
        <v>0.6218050065196917</v>
      </c>
      <c r="O37" s="71">
        <f t="shared" si="11"/>
        <v>0.007972524688323178</v>
      </c>
      <c r="P37" s="71">
        <f t="shared" si="12"/>
        <v>-1.5706568627317896</v>
      </c>
    </row>
    <row r="38" spans="2:16" s="69" customFormat="1" ht="13.5">
      <c r="B38" s="71">
        <f t="shared" si="4"/>
        <v>0.005198840373040989</v>
      </c>
      <c r="C38" s="69">
        <f t="shared" si="13"/>
        <v>30.001</v>
      </c>
      <c r="D38" s="69">
        <f>D37+J22</f>
        <v>72</v>
      </c>
      <c r="E38" s="71">
        <f t="shared" si="5"/>
        <v>0.5236162288908188</v>
      </c>
      <c r="F38" s="71">
        <f t="shared" si="6"/>
        <v>1.2566370614359172</v>
      </c>
      <c r="G38" s="71">
        <f t="shared" si="7"/>
        <v>262.17862334657684</v>
      </c>
      <c r="H38" s="71">
        <f t="shared" si="8"/>
        <v>35.698762256707205</v>
      </c>
      <c r="I38" s="71">
        <f t="shared" si="0"/>
        <v>49.18471901725621</v>
      </c>
      <c r="J38" s="71">
        <f t="shared" si="1"/>
        <v>35.698762256707205</v>
      </c>
      <c r="K38" s="71">
        <f t="shared" si="2"/>
        <v>43.042106963828815</v>
      </c>
      <c r="L38" s="71">
        <f t="shared" si="9"/>
        <v>1.8446396649834846</v>
      </c>
      <c r="M38" s="71">
        <f t="shared" si="3"/>
        <v>3.3129719635610875</v>
      </c>
      <c r="N38" s="71">
        <f t="shared" si="10"/>
        <v>0.5678815425034818</v>
      </c>
      <c r="O38" s="71">
        <f t="shared" si="11"/>
        <v>0.007769545023999133</v>
      </c>
      <c r="P38" s="71">
        <f t="shared" si="12"/>
        <v>-1.5706506724079927</v>
      </c>
    </row>
    <row r="39" spans="2:16" s="69" customFormat="1" ht="13.5">
      <c r="B39" s="71">
        <f t="shared" si="4"/>
        <v>0.005166922256026749</v>
      </c>
      <c r="C39" s="69">
        <f t="shared" si="13"/>
        <v>30.001</v>
      </c>
      <c r="D39" s="69">
        <f>D38+J22</f>
        <v>73</v>
      </c>
      <c r="E39" s="71">
        <f t="shared" si="5"/>
        <v>0.5236162288908188</v>
      </c>
      <c r="F39" s="71">
        <f t="shared" si="6"/>
        <v>1.2740903539558606</v>
      </c>
      <c r="G39" s="71">
        <f t="shared" si="7"/>
        <v>262.17862334657684</v>
      </c>
      <c r="H39" s="71">
        <f t="shared" si="8"/>
        <v>33.86975581055276</v>
      </c>
      <c r="I39" s="71">
        <f t="shared" si="0"/>
        <v>46.27998190580472</v>
      </c>
      <c r="J39" s="71">
        <f t="shared" si="1"/>
        <v>33.86975581055276</v>
      </c>
      <c r="K39" s="71">
        <f t="shared" si="2"/>
        <v>41.90275921160796</v>
      </c>
      <c r="L39" s="71">
        <f t="shared" si="9"/>
        <v>1.8620929575034282</v>
      </c>
      <c r="M39" s="71">
        <f t="shared" si="3"/>
        <v>3.3298030883232532</v>
      </c>
      <c r="N39" s="71">
        <f t="shared" si="10"/>
        <v>0.5134266852020202</v>
      </c>
      <c r="O39" s="71">
        <f t="shared" si="11"/>
        <v>0.0075761505578301564</v>
      </c>
      <c r="P39" s="71">
        <f t="shared" si="12"/>
        <v>-1.5706437491485137</v>
      </c>
    </row>
    <row r="40" spans="2:16" s="69" customFormat="1" ht="13.5">
      <c r="B40" s="71">
        <f t="shared" si="4"/>
        <v>0.00513466809093224</v>
      </c>
      <c r="C40" s="69">
        <f t="shared" si="13"/>
        <v>30.001</v>
      </c>
      <c r="D40" s="69">
        <f>D39+J22</f>
        <v>74</v>
      </c>
      <c r="E40" s="71">
        <f t="shared" si="5"/>
        <v>0.5236162288908188</v>
      </c>
      <c r="F40" s="71">
        <f t="shared" si="6"/>
        <v>1.2915436464758039</v>
      </c>
      <c r="G40" s="71">
        <f t="shared" si="7"/>
        <v>262.17862334657684</v>
      </c>
      <c r="H40" s="71">
        <f t="shared" si="8"/>
        <v>32.02150453781869</v>
      </c>
      <c r="I40" s="71">
        <f t="shared" si="0"/>
        <v>43.40608276923955</v>
      </c>
      <c r="J40" s="71">
        <f t="shared" si="1"/>
        <v>32.02150453781869</v>
      </c>
      <c r="K40" s="71">
        <f t="shared" si="2"/>
        <v>40.77550727942922</v>
      </c>
      <c r="L40" s="71">
        <f t="shared" si="9"/>
        <v>1.8795462500233713</v>
      </c>
      <c r="M40" s="71">
        <f t="shared" si="3"/>
        <v>3.347831092152982</v>
      </c>
      <c r="N40" s="71">
        <f t="shared" si="10"/>
        <v>0.4583988532741495</v>
      </c>
      <c r="O40" s="71">
        <f t="shared" si="11"/>
        <v>0.007391645029109049</v>
      </c>
      <c r="P40" s="71">
        <f t="shared" si="12"/>
        <v>-1.5706359495464315</v>
      </c>
    </row>
    <row r="41" spans="2:16" s="69" customFormat="1" ht="13.5">
      <c r="B41" s="71">
        <f t="shared" si="4"/>
        <v>0.005102052583399835</v>
      </c>
      <c r="C41" s="69">
        <f t="shared" si="13"/>
        <v>30.001</v>
      </c>
      <c r="D41" s="69">
        <f>D40+J22</f>
        <v>75</v>
      </c>
      <c r="E41" s="71">
        <f t="shared" si="5"/>
        <v>0.5236162288908188</v>
      </c>
      <c r="F41" s="71">
        <f t="shared" si="6"/>
        <v>1.3089969389957472</v>
      </c>
      <c r="G41" s="71">
        <f t="shared" si="7"/>
        <v>262.17862334657684</v>
      </c>
      <c r="H41" s="71">
        <f t="shared" si="8"/>
        <v>30.152558557855457</v>
      </c>
      <c r="I41" s="71">
        <f t="shared" si="0"/>
        <v>40.560809004261195</v>
      </c>
      <c r="J41" s="71">
        <f t="shared" si="1"/>
        <v>30.152558557855457</v>
      </c>
      <c r="K41" s="71">
        <f t="shared" si="2"/>
        <v>39.65948330059791</v>
      </c>
      <c r="L41" s="71">
        <f t="shared" si="9"/>
        <v>1.8969995425433148</v>
      </c>
      <c r="M41" s="71">
        <f t="shared" si="3"/>
        <v>3.3670866011551928</v>
      </c>
      <c r="N41" s="71">
        <f t="shared" si="10"/>
        <v>0.4027548795434824</v>
      </c>
      <c r="O41" s="71">
        <f t="shared" si="11"/>
        <v>0.007215391959384732</v>
      </c>
      <c r="P41" s="71">
        <f t="shared" si="12"/>
        <v>-1.5706270902115782</v>
      </c>
    </row>
    <row r="42" spans="2:16" s="69" customFormat="1" ht="13.5">
      <c r="B42" s="71">
        <f t="shared" si="4"/>
        <v>0.00506904942278785</v>
      </c>
      <c r="C42" s="69">
        <f t="shared" si="13"/>
        <v>30.001</v>
      </c>
      <c r="D42" s="69">
        <f>D41+J22</f>
        <v>76</v>
      </c>
      <c r="E42" s="71">
        <f aca="true" t="shared" si="14" ref="E42:E52">C42*PI()/180</f>
        <v>0.5236162288908188</v>
      </c>
      <c r="F42" s="71">
        <f aca="true" t="shared" si="15" ref="F42:F52">D42*PI()/180</f>
        <v>1.3264502315156903</v>
      </c>
      <c r="G42" s="71">
        <f t="shared" si="7"/>
        <v>262.17862334657684</v>
      </c>
      <c r="H42" s="71">
        <f t="shared" si="8"/>
        <v>28.2614098159386</v>
      </c>
      <c r="I42" s="71">
        <f t="shared" si="0"/>
        <v>37.7420264303865</v>
      </c>
      <c r="J42" s="71">
        <f t="shared" si="1"/>
        <v>28.2614098159386</v>
      </c>
      <c r="K42" s="71">
        <f t="shared" si="2"/>
        <v>38.55385016881386</v>
      </c>
      <c r="L42" s="71">
        <f t="shared" si="9"/>
        <v>1.914452835063258</v>
      </c>
      <c r="M42" s="71">
        <f t="shared" si="3"/>
        <v>3.3876027589624966</v>
      </c>
      <c r="N42" s="71">
        <f t="shared" si="10"/>
        <v>0.34644986482172163</v>
      </c>
      <c r="O42" s="71">
        <f t="shared" si="11"/>
        <v>0.007046807948623781</v>
      </c>
      <c r="P42" s="71">
        <f t="shared" si="12"/>
        <v>-1.570616932788817</v>
      </c>
    </row>
    <row r="43" spans="2:16" s="69" customFormat="1" ht="13.5">
      <c r="B43" s="71">
        <f t="shared" si="4"/>
        <v>0.005035631190244477</v>
      </c>
      <c r="C43" s="69">
        <f t="shared" si="13"/>
        <v>30.001</v>
      </c>
      <c r="D43" s="69">
        <f>D42+J22</f>
        <v>77</v>
      </c>
      <c r="E43" s="71">
        <f t="shared" si="14"/>
        <v>0.5236162288908188</v>
      </c>
      <c r="F43" s="71">
        <f t="shared" si="15"/>
        <v>1.3439035240356338</v>
      </c>
      <c r="G43" s="71">
        <f t="shared" si="7"/>
        <v>262.17862334657684</v>
      </c>
      <c r="H43" s="71">
        <f t="shared" si="8"/>
        <v>26.34648681054474</v>
      </c>
      <c r="I43" s="71">
        <f t="shared" si="0"/>
        <v>34.9476724316321</v>
      </c>
      <c r="J43" s="71">
        <f t="shared" si="1"/>
        <v>26.34648681054474</v>
      </c>
      <c r="K43" s="71">
        <f t="shared" si="2"/>
        <v>37.4577988480803</v>
      </c>
      <c r="L43" s="71">
        <f t="shared" si="9"/>
        <v>1.9319061275832015</v>
      </c>
      <c r="M43" s="71">
        <f t="shared" si="3"/>
        <v>3.409415373203253</v>
      </c>
      <c r="N43" s="71">
        <f t="shared" si="10"/>
        <v>0.2894370209242849</v>
      </c>
      <c r="O43" s="71">
        <f t="shared" si="11"/>
        <v>0.006885356810385877</v>
      </c>
      <c r="P43" s="71">
        <f t="shared" si="12"/>
        <v>-1.570605161694267</v>
      </c>
    </row>
    <row r="44" spans="2:16" s="69" customFormat="1" ht="13.5">
      <c r="B44" s="71">
        <f t="shared" si="4"/>
        <v>0.0050017692597157035</v>
      </c>
      <c r="C44" s="69">
        <f t="shared" si="13"/>
        <v>30.001</v>
      </c>
      <c r="D44" s="69">
        <f>D43+J22</f>
        <v>78</v>
      </c>
      <c r="E44" s="71">
        <f t="shared" si="14"/>
        <v>0.5236162288908188</v>
      </c>
      <c r="F44" s="71">
        <f t="shared" si="15"/>
        <v>1.361356816555577</v>
      </c>
      <c r="G44" s="71">
        <f t="shared" si="7"/>
        <v>262.17862334657684</v>
      </c>
      <c r="H44" s="71">
        <f t="shared" si="8"/>
        <v>24.40614891650218</v>
      </c>
      <c r="I44" s="71">
        <f t="shared" si="0"/>
        <v>32.17574952279962</v>
      </c>
      <c r="J44" s="71">
        <f t="shared" si="1"/>
        <v>24.40614891650218</v>
      </c>
      <c r="K44" s="71">
        <f t="shared" si="2"/>
        <v>36.370545849157565</v>
      </c>
      <c r="L44" s="71">
        <f t="shared" si="9"/>
        <v>1.9493594201031446</v>
      </c>
      <c r="M44" s="71">
        <f t="shared" si="3"/>
        <v>3.4325630767730444</v>
      </c>
      <c r="N44" s="71">
        <f t="shared" si="10"/>
        <v>0.23166750165393885</v>
      </c>
      <c r="O44" s="71">
        <f t="shared" si="11"/>
        <v>0.0067305444218125066</v>
      </c>
      <c r="P44" s="71">
        <f t="shared" si="12"/>
        <v>-1.5705913500760111</v>
      </c>
    </row>
    <row r="45" spans="2:16" s="69" customFormat="1" ht="13.5">
      <c r="B45" s="71">
        <f t="shared" si="4"/>
        <v>0.0049674336910909755</v>
      </c>
      <c r="C45" s="69">
        <f t="shared" si="13"/>
        <v>30.001</v>
      </c>
      <c r="D45" s="69">
        <f>D44+J22</f>
        <v>79</v>
      </c>
      <c r="E45" s="71">
        <f t="shared" si="14"/>
        <v>0.5236162288908188</v>
      </c>
      <c r="F45" s="71">
        <f t="shared" si="15"/>
        <v>1.3788101090755203</v>
      </c>
      <c r="G45" s="71">
        <f t="shared" si="7"/>
        <v>262.17862334657684</v>
      </c>
      <c r="H45" s="71">
        <f t="shared" si="8"/>
        <v>22.438680258289008</v>
      </c>
      <c r="I45" s="71">
        <f t="shared" si="0"/>
        <v>29.424319295722153</v>
      </c>
      <c r="J45" s="71">
        <f t="shared" si="1"/>
        <v>22.438680258289008</v>
      </c>
      <c r="K45" s="71">
        <f t="shared" si="2"/>
        <v>35.29133085505204</v>
      </c>
      <c r="L45" s="71">
        <f t="shared" si="9"/>
        <v>1.9668127126230877</v>
      </c>
      <c r="M45" s="71">
        <f t="shared" si="3"/>
        <v>3.4570875053272205</v>
      </c>
      <c r="N45" s="71">
        <f t="shared" si="10"/>
        <v>0.17309022039101127</v>
      </c>
      <c r="O45" s="71">
        <f t="shared" si="11"/>
        <v>0.006581914184294188</v>
      </c>
      <c r="P45" s="71">
        <f t="shared" si="12"/>
        <v>-1.5705749060306142</v>
      </c>
    </row>
    <row r="46" spans="2:16" s="69" customFormat="1" ht="13.5">
      <c r="B46" s="71">
        <f t="shared" si="4"/>
        <v>0.004932593114598317</v>
      </c>
      <c r="C46" s="69">
        <f t="shared" si="13"/>
        <v>30.001</v>
      </c>
      <c r="D46" s="69">
        <f>D45+J22</f>
        <v>80</v>
      </c>
      <c r="E46" s="71">
        <f t="shared" si="14"/>
        <v>0.5236162288908188</v>
      </c>
      <c r="F46" s="71">
        <f t="shared" si="15"/>
        <v>1.3962634015954636</v>
      </c>
      <c r="G46" s="71">
        <f t="shared" si="7"/>
        <v>262.17862334657684</v>
      </c>
      <c r="H46" s="71">
        <f t="shared" si="8"/>
        <v>20.442283082501756</v>
      </c>
      <c r="I46" s="71">
        <f t="shared" si="0"/>
        <v>26.691496704743898</v>
      </c>
      <c r="J46" s="71">
        <f t="shared" si="1"/>
        <v>20.442283082501756</v>
      </c>
      <c r="K46" s="71">
        <f t="shared" si="2"/>
        <v>34.21941447956511</v>
      </c>
      <c r="L46" s="71">
        <f t="shared" si="9"/>
        <v>1.9842660051430312</v>
      </c>
      <c r="M46" s="71">
        <f t="shared" si="3"/>
        <v>3.483033492591896</v>
      </c>
      <c r="N46" s="71">
        <f t="shared" si="10"/>
        <v>0.1136516527724497</v>
      </c>
      <c r="O46" s="71">
        <f t="shared" si="11"/>
        <v>0.00643904300710685</v>
      </c>
      <c r="P46" s="71">
        <f t="shared" si="12"/>
        <v>-1.5705549842843571</v>
      </c>
    </row>
    <row r="47" spans="2:16" s="69" customFormat="1" ht="13.5">
      <c r="B47" s="71">
        <f t="shared" si="4"/>
        <v>0.004897214605455852</v>
      </c>
      <c r="C47" s="69">
        <f t="shared" si="13"/>
        <v>30.001</v>
      </c>
      <c r="D47" s="69">
        <f>D46+J22</f>
        <v>81</v>
      </c>
      <c r="E47" s="71">
        <f t="shared" si="14"/>
        <v>0.5236162288908188</v>
      </c>
      <c r="F47" s="71">
        <f t="shared" si="15"/>
        <v>1.413716694115407</v>
      </c>
      <c r="G47" s="71">
        <f t="shared" si="7"/>
        <v>262.17862334657684</v>
      </c>
      <c r="H47" s="71">
        <f t="shared" si="8"/>
        <v>18.415070572518374</v>
      </c>
      <c r="I47" s="71">
        <f t="shared" si="0"/>
        <v>23.97544465412669</v>
      </c>
      <c r="J47" s="71">
        <f t="shared" si="1"/>
        <v>18.415070572518374</v>
      </c>
      <c r="K47" s="71">
        <f t="shared" si="2"/>
        <v>33.15407614426935</v>
      </c>
      <c r="L47" s="71">
        <f t="shared" si="9"/>
        <v>2.0017192976629743</v>
      </c>
      <c r="M47" s="71">
        <f t="shared" si="3"/>
        <v>3.510449285294637</v>
      </c>
      <c r="N47" s="71">
        <f t="shared" si="10"/>
        <v>0.053295622763378</v>
      </c>
      <c r="O47" s="71">
        <f t="shared" si="11"/>
        <v>0.006301537739802051</v>
      </c>
      <c r="P47" s="71">
        <f t="shared" si="12"/>
        <v>-1.5705303343669463</v>
      </c>
    </row>
    <row r="48" spans="2:16" s="69" customFormat="1" ht="13.5">
      <c r="B48" s="71">
        <f t="shared" si="4"/>
        <v>0.004947120530066516</v>
      </c>
      <c r="C48" s="69">
        <f t="shared" si="13"/>
        <v>30.001</v>
      </c>
      <c r="D48" s="69">
        <f>D47+J22</f>
        <v>82</v>
      </c>
      <c r="E48" s="71">
        <f t="shared" si="14"/>
        <v>0.5236162288908188</v>
      </c>
      <c r="F48" s="71">
        <f t="shared" si="15"/>
        <v>1.43116998663535</v>
      </c>
      <c r="G48" s="71">
        <f aca="true" t="shared" si="16" ref="G48:G64">(0.5*$D$3*$D$9+$D$5)*$D$9/TAN(E48)</f>
        <v>262.17862334657684</v>
      </c>
      <c r="H48" s="71">
        <f aca="true" t="shared" si="17" ref="H48:H64">IF(D48&gt;$F$17,I48,IF(D48&lt;$F$16,K48,J48))</f>
        <v>21.274368853074545</v>
      </c>
      <c r="I48" s="71">
        <f aca="true" t="shared" si="18" ref="I48:I64">(0.5*$D$3*$D$9+$D$6)*$D$9/TAN(F48)</f>
        <v>21.274368853074545</v>
      </c>
      <c r="J48" s="71">
        <f t="shared" si="1"/>
        <v>16.355059041525283</v>
      </c>
      <c r="K48" s="71">
        <f aca="true" t="shared" si="19" ref="K48:K64">0.5*$D$3*$D$8^2*(1/TAN(F48)-1/TAN($D$16))+$G$19</f>
        <v>32.09461206045451</v>
      </c>
      <c r="L48" s="71">
        <f aca="true" t="shared" si="20" ref="L48:L64">F48+D$14</f>
        <v>2.0191725901829174</v>
      </c>
      <c r="M48" s="71">
        <f t="shared" si="3"/>
        <v>3.539386779747792</v>
      </c>
      <c r="N48" s="71">
        <f aca="true" t="shared" si="21" ref="N48:N64">M48*SIN(D$17-F48)</f>
        <v>-0.008036929779261789</v>
      </c>
      <c r="O48" s="71">
        <f aca="true" t="shared" si="22" ref="O48:O64">SIN(E48-F$4)/SIN(E48+F48-2*F$4)*(G48+H48)</f>
        <v>0.006277986064813922</v>
      </c>
      <c r="P48" s="71">
        <f aca="true" t="shared" si="23" ref="P48:P64">ATAN((O48*COS(F48-F$4)-H48)/(O48*SIN(F48-F$4)))</f>
        <v>-1.570563745540518</v>
      </c>
    </row>
    <row r="49" spans="2:16" s="69" customFormat="1" ht="13.5">
      <c r="B49" s="71">
        <f t="shared" si="4"/>
        <v>0.004900211605366302</v>
      </c>
      <c r="C49" s="69">
        <f t="shared" si="13"/>
        <v>30.001</v>
      </c>
      <c r="D49" s="69">
        <f>D48+J22</f>
        <v>83</v>
      </c>
      <c r="E49" s="71">
        <f t="shared" si="14"/>
        <v>0.5236162288908188</v>
      </c>
      <c r="F49" s="71">
        <f t="shared" si="15"/>
        <v>1.4486232791552935</v>
      </c>
      <c r="G49" s="71">
        <f t="shared" si="16"/>
        <v>262.17862334657684</v>
      </c>
      <c r="H49" s="71">
        <f t="shared" si="17"/>
        <v>18.586512906677186</v>
      </c>
      <c r="I49" s="71">
        <f t="shared" si="18"/>
        <v>18.586512906677186</v>
      </c>
      <c r="J49" s="71">
        <f t="shared" si="1"/>
        <v>14.26015943222883</v>
      </c>
      <c r="K49" s="71">
        <f t="shared" si="19"/>
        <v>31.040333303609955</v>
      </c>
      <c r="L49" s="71">
        <f t="shared" si="20"/>
        <v>2.036625882702861</v>
      </c>
      <c r="M49" s="71">
        <f t="shared" si="3"/>
        <v>3.569901782381449</v>
      </c>
      <c r="N49" s="71">
        <f t="shared" si="21"/>
        <v>-0.0704082021850964</v>
      </c>
      <c r="O49" s="71">
        <f t="shared" si="22"/>
        <v>0.00613572968359011</v>
      </c>
      <c r="P49" s="71">
        <f t="shared" si="23"/>
        <v>-1.5705326310046914</v>
      </c>
    </row>
    <row r="50" spans="2:16" s="69" customFormat="1" ht="13.5">
      <c r="B50" s="71">
        <f t="shared" si="4"/>
        <v>0.004853503226170446</v>
      </c>
      <c r="C50" s="69">
        <f t="shared" si="13"/>
        <v>30.001</v>
      </c>
      <c r="D50" s="69">
        <f>D49+J22</f>
        <v>84</v>
      </c>
      <c r="E50" s="71">
        <f t="shared" si="14"/>
        <v>0.5236162288908188</v>
      </c>
      <c r="F50" s="71">
        <f t="shared" si="15"/>
        <v>1.4660765716752369</v>
      </c>
      <c r="G50" s="71">
        <f t="shared" si="16"/>
        <v>262.17862334657684</v>
      </c>
      <c r="H50" s="71">
        <f t="shared" si="17"/>
        <v>15.910153613341771</v>
      </c>
      <c r="I50" s="71">
        <f t="shared" si="18"/>
        <v>15.910153613341771</v>
      </c>
      <c r="J50" s="71">
        <f t="shared" si="1"/>
        <v>12.128168042573405</v>
      </c>
      <c r="K50" s="71">
        <f t="shared" si="19"/>
        <v>29.990563968899536</v>
      </c>
      <c r="L50" s="71">
        <f t="shared" si="20"/>
        <v>2.0540791752228045</v>
      </c>
      <c r="M50" s="71">
        <f t="shared" si="3"/>
        <v>3.602054296824678</v>
      </c>
      <c r="N50" s="71">
        <f t="shared" si="21"/>
        <v>-0.1338838050927462</v>
      </c>
      <c r="O50" s="71">
        <f t="shared" si="22"/>
        <v>0.005999259916561208</v>
      </c>
      <c r="P50" s="71">
        <f t="shared" si="23"/>
        <v>-1.5704912022092274</v>
      </c>
    </row>
    <row r="51" spans="2:16" s="69" customFormat="1" ht="13.5">
      <c r="B51" s="71">
        <f t="shared" si="4"/>
        <v>0.004806965823376601</v>
      </c>
      <c r="C51" s="69">
        <f t="shared" si="13"/>
        <v>30.001</v>
      </c>
      <c r="D51" s="69">
        <f>D50+J22</f>
        <v>85</v>
      </c>
      <c r="E51" s="71">
        <f t="shared" si="14"/>
        <v>0.5236162288908188</v>
      </c>
      <c r="F51" s="71">
        <f t="shared" si="15"/>
        <v>1.4835298641951802</v>
      </c>
      <c r="G51" s="71">
        <f t="shared" si="16"/>
        <v>262.17862334657684</v>
      </c>
      <c r="H51" s="71">
        <f t="shared" si="17"/>
        <v>13.24359644123674</v>
      </c>
      <c r="I51" s="71">
        <f t="shared" si="18"/>
        <v>13.24359644123674</v>
      </c>
      <c r="J51" s="71">
        <f t="shared" si="1"/>
        <v>9.956756386451493</v>
      </c>
      <c r="K51" s="71">
        <f t="shared" si="19"/>
        <v>28.944639396851734</v>
      </c>
      <c r="L51" s="71">
        <f t="shared" si="20"/>
        <v>2.0715324677427476</v>
      </c>
      <c r="M51" s="71">
        <f t="shared" si="3"/>
        <v>3.6359088404790922</v>
      </c>
      <c r="N51" s="71">
        <f t="shared" si="21"/>
        <v>-0.1985330643260647</v>
      </c>
      <c r="O51" s="71">
        <f t="shared" si="22"/>
        <v>0.0058682217262229445</v>
      </c>
      <c r="P51" s="71">
        <f t="shared" si="23"/>
        <v>-1.570433269249361</v>
      </c>
    </row>
    <row r="52" spans="2:16" s="69" customFormat="1" ht="13.5">
      <c r="B52" s="71">
        <f t="shared" si="4"/>
        <v>0.0047605702515276325</v>
      </c>
      <c r="C52" s="69">
        <f t="shared" si="13"/>
        <v>30.001</v>
      </c>
      <c r="D52" s="69">
        <f>D51+J22</f>
        <v>86</v>
      </c>
      <c r="E52" s="71">
        <f t="shared" si="14"/>
        <v>0.5236162288908188</v>
      </c>
      <c r="F52" s="71">
        <f t="shared" si="15"/>
        <v>1.5009831567151233</v>
      </c>
      <c r="G52" s="71">
        <f t="shared" si="16"/>
        <v>262.17862334657684</v>
      </c>
      <c r="H52" s="71">
        <f t="shared" si="17"/>
        <v>10.585171157948913</v>
      </c>
      <c r="I52" s="71">
        <f t="shared" si="18"/>
        <v>10.585171157948913</v>
      </c>
      <c r="J52" s="71">
        <f t="shared" si="1"/>
        <v>7.743460086500027</v>
      </c>
      <c r="K52" s="71">
        <f t="shared" si="19"/>
        <v>27.90190445914594</v>
      </c>
      <c r="L52" s="71">
        <f t="shared" si="20"/>
        <v>2.0889857602626907</v>
      </c>
      <c r="M52" s="71">
        <f t="shared" si="3"/>
        <v>3.6715347939252476</v>
      </c>
      <c r="N52" s="71">
        <f t="shared" si="21"/>
        <v>-0.26442935158799213</v>
      </c>
      <c r="O52" s="71">
        <f t="shared" si="22"/>
        <v>0.005742285282506383</v>
      </c>
      <c r="P52" s="71">
        <f t="shared" si="23"/>
        <v>-1.570346450790864</v>
      </c>
    </row>
    <row r="53" spans="2:16" s="69" customFormat="1" ht="13.5">
      <c r="B53" s="71">
        <f t="shared" si="4"/>
        <v>0.004714287714823317</v>
      </c>
      <c r="C53" s="69">
        <f t="shared" si="13"/>
        <v>30.001</v>
      </c>
      <c r="D53" s="69">
        <f>D52+J22</f>
        <v>87</v>
      </c>
      <c r="E53" s="71">
        <f aca="true" t="shared" si="24" ref="E53:E80">C53*PI()/180</f>
        <v>0.5236162288908188</v>
      </c>
      <c r="F53" s="71">
        <f aca="true" t="shared" si="25" ref="F53:F80">D53*PI()/180</f>
        <v>1.5184364492350666</v>
      </c>
      <c r="G53" s="71">
        <f t="shared" si="16"/>
        <v>262.17862334657684</v>
      </c>
      <c r="H53" s="71">
        <f t="shared" si="17"/>
        <v>7.933227588970383</v>
      </c>
      <c r="I53" s="71">
        <f t="shared" si="18"/>
        <v>7.933227588970383</v>
      </c>
      <c r="J53" s="71">
        <f t="shared" si="1"/>
        <v>5.4856666823648865</v>
      </c>
      <c r="K53" s="71">
        <f t="shared" si="19"/>
        <v>26.861711894930572</v>
      </c>
      <c r="L53" s="71">
        <f t="shared" si="20"/>
        <v>2.106439052782634</v>
      </c>
      <c r="M53" s="71">
        <f t="shared" si="3"/>
        <v>3.7090067869585464</v>
      </c>
      <c r="N53" s="71">
        <f t="shared" si="21"/>
        <v>-0.3316504474440855</v>
      </c>
      <c r="O53" s="71">
        <f t="shared" si="22"/>
        <v>0.005621143623022785</v>
      </c>
      <c r="P53" s="71">
        <f t="shared" si="23"/>
        <v>-1.5702018515842688</v>
      </c>
    </row>
    <row r="54" spans="2:16" s="69" customFormat="1" ht="13.5">
      <c r="B54" s="71">
        <f t="shared" si="4"/>
        <v>0.004668089694971345</v>
      </c>
      <c r="C54" s="69">
        <f t="shared" si="13"/>
        <v>30.001</v>
      </c>
      <c r="D54" s="69">
        <f>D53+J22</f>
        <v>88</v>
      </c>
      <c r="E54" s="71">
        <f t="shared" si="24"/>
        <v>0.5236162288908188</v>
      </c>
      <c r="F54" s="71">
        <f t="shared" si="25"/>
        <v>1.53588974175501</v>
      </c>
      <c r="G54" s="71">
        <f t="shared" si="16"/>
        <v>262.17862334657684</v>
      </c>
      <c r="H54" s="71">
        <f t="shared" si="17"/>
        <v>5.286131481813329</v>
      </c>
      <c r="I54" s="71">
        <f t="shared" si="18"/>
        <v>5.286131481813329</v>
      </c>
      <c r="J54" s="71">
        <f t="shared" si="1"/>
        <v>3.180602221976846</v>
      </c>
      <c r="K54" s="71">
        <f t="shared" si="19"/>
        <v>25.823420688572526</v>
      </c>
      <c r="L54" s="71">
        <f t="shared" si="20"/>
        <v>2.1238923453025773</v>
      </c>
      <c r="M54" s="71">
        <f t="shared" si="3"/>
        <v>3.7484051255774977</v>
      </c>
      <c r="N54" s="71">
        <f t="shared" si="21"/>
        <v>-0.4002789405393484</v>
      </c>
      <c r="O54" s="71">
        <f t="shared" si="22"/>
        <v>0.005504510553267366</v>
      </c>
      <c r="P54" s="71">
        <f t="shared" si="23"/>
        <v>-1.5699127570574378</v>
      </c>
    </row>
    <row r="55" spans="2:16" s="69" customFormat="1" ht="13.5">
      <c r="B55" s="71">
        <f t="shared" si="4"/>
        <v>0.004621947880489855</v>
      </c>
      <c r="C55" s="69">
        <f t="shared" si="13"/>
        <v>30.001</v>
      </c>
      <c r="D55" s="69">
        <f>D54+J22</f>
        <v>89</v>
      </c>
      <c r="E55" s="71">
        <f t="shared" si="24"/>
        <v>0.5236162288908188</v>
      </c>
      <c r="F55" s="71">
        <f t="shared" si="25"/>
        <v>1.5533430342749535</v>
      </c>
      <c r="G55" s="71">
        <f t="shared" si="16"/>
        <v>262.17862334657684</v>
      </c>
      <c r="H55" s="71">
        <f t="shared" si="17"/>
        <v>2.642260453508916</v>
      </c>
      <c r="I55" s="71">
        <f t="shared" si="18"/>
        <v>2.642260453508916</v>
      </c>
      <c r="J55" s="71">
        <f t="shared" si="1"/>
        <v>0.8253164850416557</v>
      </c>
      <c r="K55" s="71">
        <f t="shared" si="19"/>
        <v>24.78639448011291</v>
      </c>
      <c r="L55" s="71">
        <f t="shared" si="20"/>
        <v>2.141345637822521</v>
      </c>
      <c r="M55" s="71">
        <f t="shared" si="3"/>
        <v>3.7898162648555984</v>
      </c>
      <c r="N55" s="71">
        <f t="shared" si="21"/>
        <v>-0.47040266753803595</v>
      </c>
      <c r="O55" s="71">
        <f t="shared" si="22"/>
        <v>0.005392118757568075</v>
      </c>
      <c r="P55" s="71">
        <f t="shared" si="23"/>
        <v>-1.5690452480348618</v>
      </c>
    </row>
    <row r="56" spans="2:16" s="69" customFormat="1" ht="13.5">
      <c r="B56" s="71">
        <f t="shared" si="4"/>
        <v>0.004575834097086891</v>
      </c>
      <c r="C56" s="69">
        <f t="shared" si="13"/>
        <v>30.001</v>
      </c>
      <c r="D56" s="69">
        <f>D55+J22</f>
        <v>90</v>
      </c>
      <c r="E56" s="71">
        <f t="shared" si="24"/>
        <v>0.5236162288908188</v>
      </c>
      <c r="F56" s="71">
        <f t="shared" si="25"/>
        <v>1.5707963267948966</v>
      </c>
      <c r="G56" s="71">
        <f t="shared" si="16"/>
        <v>262.17862334657684</v>
      </c>
      <c r="H56" s="71">
        <f t="shared" si="17"/>
        <v>9.272842368089618E-15</v>
      </c>
      <c r="I56" s="71">
        <f t="shared" si="18"/>
        <v>9.272842368089618E-15</v>
      </c>
      <c r="J56" s="71">
        <f t="shared" si="1"/>
        <v>-1.5833333333333073</v>
      </c>
      <c r="K56" s="71">
        <f t="shared" si="19"/>
        <v>23.750000000000007</v>
      </c>
      <c r="L56" s="71">
        <f t="shared" si="20"/>
        <v>2.158798930342464</v>
      </c>
      <c r="M56" s="71">
        <f t="shared" si="3"/>
        <v>3.8333333333333317</v>
      </c>
      <c r="N56" s="71">
        <f t="shared" si="21"/>
        <v>-0.5421151989096857</v>
      </c>
      <c r="O56" s="71">
        <f t="shared" si="22"/>
        <v>0.005283718095440368</v>
      </c>
      <c r="P56" s="71">
        <f t="shared" si="23"/>
        <v>0.5235987755967788</v>
      </c>
    </row>
    <row r="57" spans="2:16" s="69" customFormat="1" ht="13.5">
      <c r="B57" s="71">
        <f t="shared" si="4"/>
        <v>23.56244789735492</v>
      </c>
      <c r="C57" s="69">
        <f>C56+J21</f>
        <v>36.001000000000005</v>
      </c>
      <c r="D57" s="69">
        <f>D26</f>
        <v>60</v>
      </c>
      <c r="E57" s="71">
        <f t="shared" si="24"/>
        <v>0.6283359840104786</v>
      </c>
      <c r="F57" s="71">
        <f t="shared" si="25"/>
        <v>1.0471975511965976</v>
      </c>
      <c r="G57" s="71">
        <f t="shared" si="16"/>
        <v>208.34216634108682</v>
      </c>
      <c r="H57" s="71">
        <f t="shared" si="17"/>
        <v>56.61327536344993</v>
      </c>
      <c r="I57" s="71">
        <f t="shared" si="18"/>
        <v>87.39639699857963</v>
      </c>
      <c r="J57" s="71">
        <f t="shared" si="1"/>
        <v>56.61327536344993</v>
      </c>
      <c r="K57" s="71">
        <f t="shared" si="19"/>
        <v>58.03017223313404</v>
      </c>
      <c r="L57" s="71">
        <f t="shared" si="20"/>
        <v>1.6352001547441652</v>
      </c>
      <c r="M57" s="71">
        <f t="shared" si="3"/>
        <v>3.196152422706631</v>
      </c>
      <c r="N57" s="71">
        <f t="shared" si="21"/>
        <v>1.1905676074715958</v>
      </c>
      <c r="O57" s="71">
        <f t="shared" si="22"/>
        <v>47.12489579470985</v>
      </c>
      <c r="P57" s="71">
        <f t="shared" si="23"/>
        <v>-0.5907482836880439</v>
      </c>
    </row>
    <row r="58" spans="2:16" s="69" customFormat="1" ht="13.5">
      <c r="B58" s="71">
        <f t="shared" si="4"/>
        <v>23.553590582932053</v>
      </c>
      <c r="C58" s="69">
        <f>C57</f>
        <v>36.001000000000005</v>
      </c>
      <c r="D58" s="69">
        <f aca="true" t="shared" si="26" ref="D58:D87">D27</f>
        <v>61</v>
      </c>
      <c r="E58" s="71">
        <f t="shared" si="24"/>
        <v>0.6283359840104786</v>
      </c>
      <c r="F58" s="71">
        <f t="shared" si="25"/>
        <v>1.064650843716541</v>
      </c>
      <c r="G58" s="71">
        <f t="shared" si="16"/>
        <v>208.34216634108682</v>
      </c>
      <c r="H58" s="71">
        <f t="shared" si="17"/>
        <v>54.91741842603781</v>
      </c>
      <c r="I58" s="71">
        <f t="shared" si="18"/>
        <v>83.90853266366291</v>
      </c>
      <c r="J58" s="71">
        <f aca="true" t="shared" si="27" ref="J58:J91">0.5*$J$18*N58*$D$3+$G$18</f>
        <v>54.91741842603781</v>
      </c>
      <c r="K58" s="71">
        <f t="shared" si="19"/>
        <v>56.662099930008154</v>
      </c>
      <c r="L58" s="71">
        <f t="shared" si="20"/>
        <v>1.6526534472641083</v>
      </c>
      <c r="M58" s="71">
        <f aca="true" t="shared" si="28" ref="M58:M89">J$18/SIN(L58)*SIN(J$19)</f>
        <v>3.200241894286732</v>
      </c>
      <c r="N58" s="71">
        <f t="shared" si="21"/>
        <v>1.1400769994561701</v>
      </c>
      <c r="O58" s="71">
        <f t="shared" si="22"/>
        <v>45.73174631224193</v>
      </c>
      <c r="P58" s="71">
        <f t="shared" si="23"/>
        <v>-0.5884512150372461</v>
      </c>
    </row>
    <row r="59" spans="2:16" s="69" customFormat="1" ht="13.5">
      <c r="B59" s="71">
        <f t="shared" si="4"/>
        <v>23.53608083081683</v>
      </c>
      <c r="C59" s="69">
        <f aca="true" t="shared" si="29" ref="C59:C87">C58</f>
        <v>36.001000000000005</v>
      </c>
      <c r="D59" s="69">
        <f t="shared" si="26"/>
        <v>62</v>
      </c>
      <c r="E59" s="71">
        <f t="shared" si="24"/>
        <v>0.6283359840104786</v>
      </c>
      <c r="F59" s="71">
        <f t="shared" si="25"/>
        <v>1.0821041362364843</v>
      </c>
      <c r="G59" s="71">
        <f t="shared" si="16"/>
        <v>208.34216634108682</v>
      </c>
      <c r="H59" s="71">
        <f t="shared" si="17"/>
        <v>53.21669751699319</v>
      </c>
      <c r="I59" s="71">
        <f t="shared" si="18"/>
        <v>80.48751521775635</v>
      </c>
      <c r="J59" s="71">
        <f t="shared" si="27"/>
        <v>53.21669751699319</v>
      </c>
      <c r="K59" s="71">
        <f t="shared" si="19"/>
        <v>55.3202475049003</v>
      </c>
      <c r="L59" s="71">
        <f t="shared" si="20"/>
        <v>1.6701067397840519</v>
      </c>
      <c r="M59" s="71">
        <f t="shared" si="28"/>
        <v>3.205319466443784</v>
      </c>
      <c r="N59" s="71">
        <f t="shared" si="21"/>
        <v>1.0894415768165406</v>
      </c>
      <c r="O59" s="71">
        <f t="shared" si="22"/>
        <v>44.4144654089404</v>
      </c>
      <c r="P59" s="71">
        <f t="shared" si="23"/>
        <v>-0.5838842920781431</v>
      </c>
    </row>
    <row r="60" spans="2:16" s="69" customFormat="1" ht="13.5">
      <c r="B60" s="71">
        <f t="shared" si="4"/>
        <v>23.510437129826173</v>
      </c>
      <c r="C60" s="69">
        <f t="shared" si="29"/>
        <v>36.001000000000005</v>
      </c>
      <c r="D60" s="69">
        <f t="shared" si="26"/>
        <v>63</v>
      </c>
      <c r="E60" s="71">
        <f t="shared" si="24"/>
        <v>0.6283359840104786</v>
      </c>
      <c r="F60" s="71">
        <f t="shared" si="25"/>
        <v>1.0995574287564276</v>
      </c>
      <c r="G60" s="71">
        <f t="shared" si="16"/>
        <v>208.34216634108682</v>
      </c>
      <c r="H60" s="71">
        <f t="shared" si="17"/>
        <v>51.51005054407396</v>
      </c>
      <c r="I60" s="71">
        <f t="shared" si="18"/>
        <v>77.12941491721917</v>
      </c>
      <c r="J60" s="71">
        <f t="shared" si="27"/>
        <v>51.51005054407396</v>
      </c>
      <c r="K60" s="71">
        <f t="shared" si="19"/>
        <v>54.00307356373172</v>
      </c>
      <c r="L60" s="71">
        <f t="shared" si="20"/>
        <v>1.687560032303995</v>
      </c>
      <c r="M60" s="71">
        <f t="shared" si="28"/>
        <v>3.2113929525108333</v>
      </c>
      <c r="N60" s="71">
        <f t="shared" si="21"/>
        <v>1.0386297179684278</v>
      </c>
      <c r="O60" s="71">
        <f t="shared" si="22"/>
        <v>43.16700717049687</v>
      </c>
      <c r="P60" s="71">
        <f t="shared" si="23"/>
        <v>-0.577133377179119</v>
      </c>
    </row>
    <row r="61" spans="2:16" s="69" customFormat="1" ht="13.5">
      <c r="B61" s="71">
        <f t="shared" si="4"/>
        <v>23.477113175657056</v>
      </c>
      <c r="C61" s="69">
        <f t="shared" si="29"/>
        <v>36.001000000000005</v>
      </c>
      <c r="D61" s="69">
        <f t="shared" si="26"/>
        <v>64</v>
      </c>
      <c r="E61" s="71">
        <f t="shared" si="24"/>
        <v>0.6283359840104786</v>
      </c>
      <c r="F61" s="71">
        <f t="shared" si="25"/>
        <v>1.117010721276371</v>
      </c>
      <c r="G61" s="71">
        <f t="shared" si="16"/>
        <v>208.34216634108682</v>
      </c>
      <c r="H61" s="71">
        <f t="shared" si="17"/>
        <v>49.7964007486329</v>
      </c>
      <c r="I61" s="71">
        <f t="shared" si="18"/>
        <v>73.83052059415728</v>
      </c>
      <c r="J61" s="71">
        <f t="shared" si="27"/>
        <v>49.7964007486329</v>
      </c>
      <c r="K61" s="71">
        <f t="shared" si="19"/>
        <v>52.70912244609802</v>
      </c>
      <c r="L61" s="71">
        <f t="shared" si="20"/>
        <v>1.7050133248239385</v>
      </c>
      <c r="M61" s="71">
        <f t="shared" si="28"/>
        <v>3.21847173736185</v>
      </c>
      <c r="N61" s="71">
        <f t="shared" si="21"/>
        <v>0.9876093646658881</v>
      </c>
      <c r="O61" s="71">
        <f t="shared" si="22"/>
        <v>41.98392545746106</v>
      </c>
      <c r="P61" s="71">
        <f t="shared" si="23"/>
        <v>-0.5682487079638323</v>
      </c>
    </row>
    <row r="62" spans="2:16" s="69" customFormat="1" ht="13.5">
      <c r="B62" s="71">
        <f t="shared" si="4"/>
        <v>23.436505280399743</v>
      </c>
      <c r="C62" s="69">
        <f t="shared" si="29"/>
        <v>36.001000000000005</v>
      </c>
      <c r="D62" s="69">
        <f t="shared" si="26"/>
        <v>65</v>
      </c>
      <c r="E62" s="71">
        <f t="shared" si="24"/>
        <v>0.6283359840104786</v>
      </c>
      <c r="F62" s="71">
        <f t="shared" si="25"/>
        <v>1.1344640137963142</v>
      </c>
      <c r="G62" s="71">
        <f t="shared" si="16"/>
        <v>208.34216634108682</v>
      </c>
      <c r="H62" s="71">
        <f t="shared" si="17"/>
        <v>48.07465394252364</v>
      </c>
      <c r="I62" s="71">
        <f t="shared" si="18"/>
        <v>70.58732175321292</v>
      </c>
      <c r="J62" s="71">
        <f t="shared" si="27"/>
        <v>48.07465394252364</v>
      </c>
      <c r="K62" s="71">
        <f t="shared" si="19"/>
        <v>51.43701720295304</v>
      </c>
      <c r="L62" s="71">
        <f t="shared" si="20"/>
        <v>1.7224666173438816</v>
      </c>
      <c r="M62" s="71">
        <f t="shared" si="28"/>
        <v>3.2265668130425462</v>
      </c>
      <c r="N62" s="71">
        <f t="shared" si="21"/>
        <v>0.9363479397359457</v>
      </c>
      <c r="O62" s="71">
        <f t="shared" si="22"/>
        <v>40.86030003166987</v>
      </c>
      <c r="P62" s="71">
        <f t="shared" si="23"/>
        <v>-0.557249350753929</v>
      </c>
    </row>
    <row r="63" spans="2:16" s="69" customFormat="1" ht="13.5">
      <c r="B63" s="71">
        <f t="shared" si="4"/>
        <v>23.388958670115795</v>
      </c>
      <c r="C63" s="69">
        <f t="shared" si="29"/>
        <v>36.001000000000005</v>
      </c>
      <c r="D63" s="69">
        <f t="shared" si="26"/>
        <v>66</v>
      </c>
      <c r="E63" s="71">
        <f t="shared" si="24"/>
        <v>0.6283359840104786</v>
      </c>
      <c r="F63" s="71">
        <f t="shared" si="25"/>
        <v>1.1519173063162575</v>
      </c>
      <c r="G63" s="71">
        <f t="shared" si="16"/>
        <v>208.34216634108682</v>
      </c>
      <c r="H63" s="71">
        <f t="shared" si="17"/>
        <v>46.34369565210348</v>
      </c>
      <c r="I63" s="71">
        <f t="shared" si="18"/>
        <v>67.39649223857965</v>
      </c>
      <c r="J63" s="71">
        <f t="shared" si="27"/>
        <v>46.34369565210348</v>
      </c>
      <c r="K63" s="71">
        <f t="shared" si="19"/>
        <v>50.18545319019432</v>
      </c>
      <c r="L63" s="71">
        <f t="shared" si="20"/>
        <v>1.7399199098638252</v>
      </c>
      <c r="M63" s="71">
        <f t="shared" si="28"/>
        <v>3.235690820800044</v>
      </c>
      <c r="N63" s="71">
        <f t="shared" si="21"/>
        <v>0.8848122620472225</v>
      </c>
      <c r="O63" s="71">
        <f t="shared" si="22"/>
        <v>39.7916731984929</v>
      </c>
      <c r="P63" s="71">
        <f t="shared" si="23"/>
        <v>-0.5441265409321552</v>
      </c>
    </row>
    <row r="64" spans="2:16" s="69" customFormat="1" ht="13.5">
      <c r="B64" s="71">
        <f t="shared" si="4"/>
        <v>23.334772848046804</v>
      </c>
      <c r="C64" s="69">
        <f t="shared" si="29"/>
        <v>36.001000000000005</v>
      </c>
      <c r="D64" s="69">
        <f t="shared" si="26"/>
        <v>67</v>
      </c>
      <c r="E64" s="71">
        <f t="shared" si="24"/>
        <v>0.6283359840104786</v>
      </c>
      <c r="F64" s="71">
        <f t="shared" si="25"/>
        <v>1.1693705988362006</v>
      </c>
      <c r="G64" s="71">
        <f t="shared" si="16"/>
        <v>208.34216634108682</v>
      </c>
      <c r="H64" s="71">
        <f t="shared" si="17"/>
        <v>44.602388153158174</v>
      </c>
      <c r="I64" s="71">
        <f t="shared" si="18"/>
        <v>64.25487530372895</v>
      </c>
      <c r="J64" s="71">
        <f t="shared" si="27"/>
        <v>44.602388153158174</v>
      </c>
      <c r="K64" s="71">
        <f t="shared" si="19"/>
        <v>48.95319221244529</v>
      </c>
      <c r="L64" s="71">
        <f t="shared" si="20"/>
        <v>1.7573732023837683</v>
      </c>
      <c r="M64" s="71">
        <f t="shared" si="28"/>
        <v>3.2458580998131934</v>
      </c>
      <c r="N64" s="71">
        <f t="shared" si="21"/>
        <v>0.8329684582310031</v>
      </c>
      <c r="O64" s="71">
        <f t="shared" si="22"/>
        <v>38.77399524828959</v>
      </c>
      <c r="P64" s="71">
        <f t="shared" si="23"/>
        <v>-0.5288462123777344</v>
      </c>
    </row>
    <row r="65" spans="2:16" s="69" customFormat="1" ht="13.5">
      <c r="B65" s="71">
        <f t="shared" si="4"/>
        <v>23.27420616829919</v>
      </c>
      <c r="C65" s="69">
        <f t="shared" si="29"/>
        <v>36.001000000000005</v>
      </c>
      <c r="D65" s="69">
        <f t="shared" si="26"/>
        <v>68</v>
      </c>
      <c r="E65" s="71">
        <f t="shared" si="24"/>
        <v>0.6283359840104786</v>
      </c>
      <c r="F65" s="71">
        <f t="shared" si="25"/>
        <v>1.1868238913561442</v>
      </c>
      <c r="G65" s="71">
        <f aca="true" t="shared" si="30" ref="G65:G91">(0.5*$D$3*$D$9+$D$5)*$D$9/TAN(E65)</f>
        <v>208.34216634108682</v>
      </c>
      <c r="H65" s="71">
        <f aca="true" t="shared" si="31" ref="H65:H91">IF(D65&gt;$F$17,I65,IF(D65&lt;$F$16,K65,J65))</f>
        <v>42.84956737955771</v>
      </c>
      <c r="I65" s="71">
        <f aca="true" t="shared" si="32" ref="I65:I91">(0.5*$D$3*$D$9+$D$6)*$D$9/TAN(F65)</f>
        <v>61.15946993579685</v>
      </c>
      <c r="J65" s="71">
        <f t="shared" si="27"/>
        <v>42.84956737955771</v>
      </c>
      <c r="K65" s="71">
        <f aca="true" t="shared" si="33" ref="K65:K91">0.5*$D$3*$D$8^2*(1/TAN(F65)-1/TAN($D$16))+$G$19</f>
        <v>47.739057158962424</v>
      </c>
      <c r="L65" s="71">
        <f aca="true" t="shared" si="34" ref="L65:L91">F65+D$14</f>
        <v>1.7748264949037118</v>
      </c>
      <c r="M65" s="71">
        <f t="shared" si="28"/>
        <v>3.2570847429771757</v>
      </c>
      <c r="N65" s="71">
        <f aca="true" t="shared" si="35" ref="N65:N91">M65*SIN(D$17-F65)</f>
        <v>0.7807818706428962</v>
      </c>
      <c r="O65" s="71">
        <f aca="true" t="shared" si="36" ref="O65:O91">SIN(E65-F$4)/SIN(E65+F65-2*F$4)*(G65+H65)</f>
        <v>37.80357729219315</v>
      </c>
      <c r="P65" s="71">
        <f aca="true" t="shared" si="37" ref="P65:P91">ATAN((O65*COS(F65-F$4)-H65)/(O65*SIN(F65-F$4)))</f>
        <v>-0.511350970111037</v>
      </c>
    </row>
    <row r="66" spans="2:16" s="69" customFormat="1" ht="13.5">
      <c r="B66" s="71">
        <f t="shared" si="4"/>
        <v>23.207479738630962</v>
      </c>
      <c r="C66" s="69">
        <f t="shared" si="29"/>
        <v>36.001000000000005</v>
      </c>
      <c r="D66" s="69">
        <f t="shared" si="26"/>
        <v>69</v>
      </c>
      <c r="E66" s="71">
        <f t="shared" si="24"/>
        <v>0.6283359840104786</v>
      </c>
      <c r="F66" s="71">
        <f t="shared" si="25"/>
        <v>1.2042771838760873</v>
      </c>
      <c r="G66" s="71">
        <f t="shared" si="30"/>
        <v>208.34216634108682</v>
      </c>
      <c r="H66" s="71">
        <f t="shared" si="31"/>
        <v>41.08403968726031</v>
      </c>
      <c r="I66" s="71">
        <f t="shared" si="32"/>
        <v>58.107418303486085</v>
      </c>
      <c r="J66" s="71">
        <f t="shared" si="27"/>
        <v>41.08403968726031</v>
      </c>
      <c r="K66" s="71">
        <f t="shared" si="33"/>
        <v>46.54192708022782</v>
      </c>
      <c r="L66" s="71">
        <f t="shared" si="34"/>
        <v>1.792279787423655</v>
      </c>
      <c r="M66" s="71">
        <f t="shared" si="28"/>
        <v>3.2693886601519666</v>
      </c>
      <c r="N66" s="71">
        <f t="shared" si="35"/>
        <v>0.7282169610177962</v>
      </c>
      <c r="O66" s="71">
        <f t="shared" si="36"/>
        <v>36.87705033665929</v>
      </c>
      <c r="P66" s="71">
        <f t="shared" si="37"/>
        <v>-0.4915617367506359</v>
      </c>
    </row>
    <row r="67" spans="2:16" s="69" customFormat="1" ht="13.5">
      <c r="B67" s="71">
        <f t="shared" si="4"/>
        <v>23.13478074983048</v>
      </c>
      <c r="C67" s="69">
        <f t="shared" si="29"/>
        <v>36.001000000000005</v>
      </c>
      <c r="D67" s="69">
        <f t="shared" si="26"/>
        <v>70</v>
      </c>
      <c r="E67" s="71">
        <f t="shared" si="24"/>
        <v>0.6283359840104786</v>
      </c>
      <c r="F67" s="71">
        <f t="shared" si="25"/>
        <v>1.2217304763960306</v>
      </c>
      <c r="G67" s="71">
        <f t="shared" si="30"/>
        <v>208.34216634108682</v>
      </c>
      <c r="H67" s="71">
        <f t="shared" si="31"/>
        <v>39.30457845389725</v>
      </c>
      <c r="I67" s="71">
        <f t="shared" si="32"/>
        <v>55.09599421204639</v>
      </c>
      <c r="J67" s="71">
        <f t="shared" si="27"/>
        <v>39.30457845389725</v>
      </c>
      <c r="K67" s="71">
        <f t="shared" si="33"/>
        <v>45.360732659555765</v>
      </c>
      <c r="L67" s="71">
        <f t="shared" si="34"/>
        <v>1.809733079943598</v>
      </c>
      <c r="M67" s="71">
        <f t="shared" si="28"/>
        <v>3.2827896493451227</v>
      </c>
      <c r="N67" s="71">
        <f t="shared" si="35"/>
        <v>0.6752372092296027</v>
      </c>
      <c r="O67" s="71">
        <f t="shared" si="36"/>
        <v>35.991329641702876</v>
      </c>
      <c r="P67" s="71">
        <f t="shared" si="37"/>
        <v>-0.4693793009787875</v>
      </c>
    </row>
    <row r="68" spans="2:16" s="69" customFormat="1" ht="13.5">
      <c r="B68" s="71">
        <f t="shared" si="4"/>
        <v>23.056265312035226</v>
      </c>
      <c r="C68" s="69">
        <f t="shared" si="29"/>
        <v>36.001000000000005</v>
      </c>
      <c r="D68" s="69">
        <f t="shared" si="26"/>
        <v>71</v>
      </c>
      <c r="E68" s="71">
        <f t="shared" si="24"/>
        <v>0.6283359840104786</v>
      </c>
      <c r="F68" s="71">
        <f t="shared" si="25"/>
        <v>1.239183768915974</v>
      </c>
      <c r="G68" s="71">
        <f t="shared" si="30"/>
        <v>208.34216634108682</v>
      </c>
      <c r="H68" s="71">
        <f t="shared" si="31"/>
        <v>37.50992049257642</v>
      </c>
      <c r="I68" s="71">
        <f t="shared" si="32"/>
        <v>52.12259246172309</v>
      </c>
      <c r="J68" s="71">
        <f t="shared" si="27"/>
        <v>37.50992049257642</v>
      </c>
      <c r="K68" s="71">
        <f t="shared" si="33"/>
        <v>44.19445203907388</v>
      </c>
      <c r="L68" s="71">
        <f t="shared" si="34"/>
        <v>1.8271863724635415</v>
      </c>
      <c r="M68" s="71">
        <f t="shared" si="28"/>
        <v>3.297309476365921</v>
      </c>
      <c r="N68" s="71">
        <f t="shared" si="35"/>
        <v>0.6218050065196917</v>
      </c>
      <c r="O68" s="71">
        <f t="shared" si="36"/>
        <v>35.14358356977789</v>
      </c>
      <c r="P68" s="71">
        <f t="shared" si="37"/>
        <v>-0.44468601281569403</v>
      </c>
    </row>
    <row r="69" spans="2:16" s="69" customFormat="1" ht="13.5">
      <c r="B69" s="71">
        <f t="shared" si="4"/>
        <v>22.972060864351292</v>
      </c>
      <c r="C69" s="69">
        <f t="shared" si="29"/>
        <v>36.001000000000005</v>
      </c>
      <c r="D69" s="69">
        <f t="shared" si="26"/>
        <v>72</v>
      </c>
      <c r="E69" s="71">
        <f t="shared" si="24"/>
        <v>0.6283359840104786</v>
      </c>
      <c r="F69" s="71">
        <f t="shared" si="25"/>
        <v>1.2566370614359172</v>
      </c>
      <c r="G69" s="71">
        <f t="shared" si="30"/>
        <v>208.34216634108682</v>
      </c>
      <c r="H69" s="71">
        <f t="shared" si="31"/>
        <v>35.698762256707205</v>
      </c>
      <c r="I69" s="71">
        <f t="shared" si="32"/>
        <v>49.18471901725621</v>
      </c>
      <c r="J69" s="71">
        <f t="shared" si="27"/>
        <v>35.698762256707205</v>
      </c>
      <c r="K69" s="71">
        <f t="shared" si="33"/>
        <v>43.042106963828815</v>
      </c>
      <c r="L69" s="71">
        <f t="shared" si="34"/>
        <v>1.8446396649834846</v>
      </c>
      <c r="M69" s="71">
        <f t="shared" si="28"/>
        <v>3.3129719635610875</v>
      </c>
      <c r="N69" s="71">
        <f t="shared" si="35"/>
        <v>0.5678815425034818</v>
      </c>
      <c r="O69" s="71">
        <f t="shared" si="36"/>
        <v>34.33120626383552</v>
      </c>
      <c r="P69" s="71">
        <f t="shared" si="37"/>
        <v>-0.41734790433918545</v>
      </c>
    </row>
    <row r="70" spans="2:16" s="69" customFormat="1" ht="13.5">
      <c r="B70" s="71">
        <f t="shared" si="4"/>
        <v>22.882268212650107</v>
      </c>
      <c r="C70" s="69">
        <f t="shared" si="29"/>
        <v>36.001000000000005</v>
      </c>
      <c r="D70" s="69">
        <f t="shared" si="26"/>
        <v>73</v>
      </c>
      <c r="E70" s="71">
        <f t="shared" si="24"/>
        <v>0.6283359840104786</v>
      </c>
      <c r="F70" s="71">
        <f t="shared" si="25"/>
        <v>1.2740903539558606</v>
      </c>
      <c r="G70" s="71">
        <f t="shared" si="30"/>
        <v>208.34216634108682</v>
      </c>
      <c r="H70" s="71">
        <f t="shared" si="31"/>
        <v>33.86975581055276</v>
      </c>
      <c r="I70" s="71">
        <f t="shared" si="32"/>
        <v>46.27998190580472</v>
      </c>
      <c r="J70" s="71">
        <f t="shared" si="27"/>
        <v>33.86975581055276</v>
      </c>
      <c r="K70" s="71">
        <f t="shared" si="33"/>
        <v>41.90275921160796</v>
      </c>
      <c r="L70" s="71">
        <f t="shared" si="34"/>
        <v>1.8620929575034282</v>
      </c>
      <c r="M70" s="71">
        <f t="shared" si="28"/>
        <v>3.3298030883232532</v>
      </c>
      <c r="N70" s="71">
        <f t="shared" si="35"/>
        <v>0.5134266852020202</v>
      </c>
      <c r="O70" s="71">
        <f t="shared" si="36"/>
        <v>33.55179360043208</v>
      </c>
      <c r="P70" s="71">
        <f t="shared" si="37"/>
        <v>-0.3872175628779705</v>
      </c>
    </row>
    <row r="71" spans="2:16" s="69" customFormat="1" ht="13.5">
      <c r="B71" s="71">
        <f t="shared" si="4"/>
        <v>22.78696324092591</v>
      </c>
      <c r="C71" s="69">
        <f t="shared" si="29"/>
        <v>36.001000000000005</v>
      </c>
      <c r="D71" s="69">
        <f t="shared" si="26"/>
        <v>74</v>
      </c>
      <c r="E71" s="71">
        <f t="shared" si="24"/>
        <v>0.6283359840104786</v>
      </c>
      <c r="F71" s="71">
        <f t="shared" si="25"/>
        <v>1.2915436464758039</v>
      </c>
      <c r="G71" s="71">
        <f t="shared" si="30"/>
        <v>208.34216634108682</v>
      </c>
      <c r="H71" s="71">
        <f t="shared" si="31"/>
        <v>32.02150453781869</v>
      </c>
      <c r="I71" s="71">
        <f t="shared" si="32"/>
        <v>43.40608276923955</v>
      </c>
      <c r="J71" s="71">
        <f t="shared" si="27"/>
        <v>32.02150453781869</v>
      </c>
      <c r="K71" s="71">
        <f t="shared" si="33"/>
        <v>40.77550727942922</v>
      </c>
      <c r="L71" s="71">
        <f t="shared" si="34"/>
        <v>1.8795462500233713</v>
      </c>
      <c r="M71" s="71">
        <f t="shared" si="28"/>
        <v>3.347831092152982</v>
      </c>
      <c r="N71" s="71">
        <f t="shared" si="35"/>
        <v>0.4583988532741495</v>
      </c>
      <c r="O71" s="71">
        <f t="shared" si="36"/>
        <v>32.803121951685924</v>
      </c>
      <c r="P71" s="71">
        <f t="shared" si="37"/>
        <v>-0.3541381413050591</v>
      </c>
    </row>
    <row r="72" spans="2:16" s="69" customFormat="1" ht="13.5">
      <c r="B72" s="71">
        <f t="shared" si="4"/>
        <v>22.686198333697053</v>
      </c>
      <c r="C72" s="69">
        <f>C71</f>
        <v>36.001000000000005</v>
      </c>
      <c r="D72" s="69">
        <f t="shared" si="26"/>
        <v>75</v>
      </c>
      <c r="E72" s="71">
        <f t="shared" si="24"/>
        <v>0.6283359840104786</v>
      </c>
      <c r="F72" s="71">
        <f t="shared" si="25"/>
        <v>1.3089969389957472</v>
      </c>
      <c r="G72" s="71">
        <f t="shared" si="30"/>
        <v>208.34216634108682</v>
      </c>
      <c r="H72" s="71">
        <f t="shared" si="31"/>
        <v>30.152558557855457</v>
      </c>
      <c r="I72" s="71">
        <f t="shared" si="32"/>
        <v>40.560809004261195</v>
      </c>
      <c r="J72" s="71">
        <f t="shared" si="27"/>
        <v>30.152558557855457</v>
      </c>
      <c r="K72" s="71">
        <f t="shared" si="33"/>
        <v>39.65948330059791</v>
      </c>
      <c r="L72" s="71">
        <f t="shared" si="34"/>
        <v>1.8969995425433148</v>
      </c>
      <c r="M72" s="71">
        <f t="shared" si="28"/>
        <v>3.3670866011551928</v>
      </c>
      <c r="N72" s="71">
        <f t="shared" si="35"/>
        <v>0.4027548795434824</v>
      </c>
      <c r="O72" s="71">
        <f t="shared" si="36"/>
        <v>32.08312936220028</v>
      </c>
      <c r="P72" s="71">
        <f t="shared" si="37"/>
        <v>-0.31794894634270443</v>
      </c>
    </row>
    <row r="73" spans="2:16" s="69" customFormat="1" ht="13.5">
      <c r="B73" s="71">
        <f t="shared" si="4"/>
        <v>22.580003540305388</v>
      </c>
      <c r="C73" s="69">
        <f t="shared" si="29"/>
        <v>36.001000000000005</v>
      </c>
      <c r="D73" s="69">
        <f t="shared" si="26"/>
        <v>76</v>
      </c>
      <c r="E73" s="71">
        <f t="shared" si="24"/>
        <v>0.6283359840104786</v>
      </c>
      <c r="F73" s="71">
        <f t="shared" si="25"/>
        <v>1.3264502315156903</v>
      </c>
      <c r="G73" s="71">
        <f t="shared" si="30"/>
        <v>208.34216634108682</v>
      </c>
      <c r="H73" s="71">
        <f t="shared" si="31"/>
        <v>28.2614098159386</v>
      </c>
      <c r="I73" s="71">
        <f t="shared" si="32"/>
        <v>37.7420264303865</v>
      </c>
      <c r="J73" s="71">
        <f t="shared" si="27"/>
        <v>28.2614098159386</v>
      </c>
      <c r="K73" s="71">
        <f t="shared" si="33"/>
        <v>38.55385016881386</v>
      </c>
      <c r="L73" s="71">
        <f t="shared" si="34"/>
        <v>1.914452835063258</v>
      </c>
      <c r="M73" s="71">
        <f t="shared" si="28"/>
        <v>3.3876027589624966</v>
      </c>
      <c r="N73" s="71">
        <f t="shared" si="35"/>
        <v>0.34644986482172163</v>
      </c>
      <c r="O73" s="71">
        <f t="shared" si="36"/>
        <v>31.38989880676026</v>
      </c>
      <c r="P73" s="71">
        <f t="shared" si="37"/>
        <v>-0.2784930818368873</v>
      </c>
    </row>
    <row r="74" spans="2:16" s="69" customFormat="1" ht="13.5">
      <c r="B74" s="71">
        <f t="shared" si="4"/>
        <v>22.46838750635912</v>
      </c>
      <c r="C74" s="69">
        <f t="shared" si="29"/>
        <v>36.001000000000005</v>
      </c>
      <c r="D74" s="69">
        <f t="shared" si="26"/>
        <v>77</v>
      </c>
      <c r="E74" s="71">
        <f t="shared" si="24"/>
        <v>0.6283359840104786</v>
      </c>
      <c r="F74" s="71">
        <f t="shared" si="25"/>
        <v>1.3439035240356338</v>
      </c>
      <c r="G74" s="71">
        <f t="shared" si="30"/>
        <v>208.34216634108682</v>
      </c>
      <c r="H74" s="71">
        <f t="shared" si="31"/>
        <v>26.34648681054474</v>
      </c>
      <c r="I74" s="71">
        <f t="shared" si="32"/>
        <v>34.9476724316321</v>
      </c>
      <c r="J74" s="71">
        <f t="shared" si="27"/>
        <v>26.34648681054474</v>
      </c>
      <c r="K74" s="71">
        <f t="shared" si="33"/>
        <v>37.4577988480803</v>
      </c>
      <c r="L74" s="71">
        <f t="shared" si="34"/>
        <v>1.9319061275832015</v>
      </c>
      <c r="M74" s="71">
        <f t="shared" si="28"/>
        <v>3.409415373203253</v>
      </c>
      <c r="N74" s="71">
        <f t="shared" si="35"/>
        <v>0.2894370209242849</v>
      </c>
      <c r="O74" s="71">
        <f t="shared" si="36"/>
        <v>30.721643244049414</v>
      </c>
      <c r="P74" s="71">
        <f t="shared" si="37"/>
        <v>-0.23562760896723062</v>
      </c>
    </row>
    <row r="75" spans="2:16" s="69" customFormat="1" ht="13.5">
      <c r="B75" s="71">
        <f t="shared" si="4"/>
        <v>22.351338192770175</v>
      </c>
      <c r="C75" s="69">
        <f t="shared" si="29"/>
        <v>36.001000000000005</v>
      </c>
      <c r="D75" s="69">
        <f t="shared" si="26"/>
        <v>78</v>
      </c>
      <c r="E75" s="71">
        <f t="shared" si="24"/>
        <v>0.6283359840104786</v>
      </c>
      <c r="F75" s="71">
        <f t="shared" si="25"/>
        <v>1.361356816555577</v>
      </c>
      <c r="G75" s="71">
        <f t="shared" si="30"/>
        <v>208.34216634108682</v>
      </c>
      <c r="H75" s="71">
        <f t="shared" si="31"/>
        <v>24.40614891650218</v>
      </c>
      <c r="I75" s="71">
        <f t="shared" si="32"/>
        <v>32.17574952279962</v>
      </c>
      <c r="J75" s="71">
        <f t="shared" si="27"/>
        <v>24.40614891650218</v>
      </c>
      <c r="K75" s="71">
        <f t="shared" si="33"/>
        <v>36.370545849157565</v>
      </c>
      <c r="L75" s="71">
        <f t="shared" si="34"/>
        <v>1.9493594201031446</v>
      </c>
      <c r="M75" s="71">
        <f t="shared" si="28"/>
        <v>3.4325630767730444</v>
      </c>
      <c r="N75" s="71">
        <f t="shared" si="35"/>
        <v>0.23166750165393885</v>
      </c>
      <c r="O75" s="71">
        <f t="shared" si="36"/>
        <v>30.076692222692582</v>
      </c>
      <c r="P75" s="71">
        <f t="shared" si="37"/>
        <v>-0.18923657443913766</v>
      </c>
    </row>
    <row r="76" spans="2:16" s="69" customFormat="1" ht="13.5">
      <c r="B76" s="71">
        <f t="shared" si="4"/>
        <v>22.228823398691144</v>
      </c>
      <c r="C76" s="69">
        <f t="shared" si="29"/>
        <v>36.001000000000005</v>
      </c>
      <c r="D76" s="69">
        <f t="shared" si="26"/>
        <v>79</v>
      </c>
      <c r="E76" s="71">
        <f t="shared" si="24"/>
        <v>0.6283359840104786</v>
      </c>
      <c r="F76" s="71">
        <f t="shared" si="25"/>
        <v>1.3788101090755203</v>
      </c>
      <c r="G76" s="71">
        <f t="shared" si="30"/>
        <v>208.34216634108682</v>
      </c>
      <c r="H76" s="71">
        <f t="shared" si="31"/>
        <v>22.438680258289008</v>
      </c>
      <c r="I76" s="71">
        <f t="shared" si="32"/>
        <v>29.424319295722153</v>
      </c>
      <c r="J76" s="71">
        <f t="shared" si="27"/>
        <v>22.438680258289008</v>
      </c>
      <c r="K76" s="71">
        <f t="shared" si="33"/>
        <v>35.29133085505204</v>
      </c>
      <c r="L76" s="71">
        <f t="shared" si="34"/>
        <v>1.9668127126230877</v>
      </c>
      <c r="M76" s="71">
        <f t="shared" si="28"/>
        <v>3.4570875053272205</v>
      </c>
      <c r="N76" s="71">
        <f t="shared" si="35"/>
        <v>0.17309022039101127</v>
      </c>
      <c r="O76" s="71">
        <f t="shared" si="36"/>
        <v>29.45347983012185</v>
      </c>
      <c r="P76" s="71">
        <f t="shared" si="37"/>
        <v>-0.1392469940552763</v>
      </c>
    </row>
    <row r="77" spans="2:16" s="69" customFormat="1" ht="13.5">
      <c r="B77" s="71">
        <f t="shared" si="4"/>
        <v>22.100791101024225</v>
      </c>
      <c r="C77" s="69">
        <f t="shared" si="29"/>
        <v>36.001000000000005</v>
      </c>
      <c r="D77" s="69">
        <f t="shared" si="26"/>
        <v>80</v>
      </c>
      <c r="E77" s="71">
        <f t="shared" si="24"/>
        <v>0.6283359840104786</v>
      </c>
      <c r="F77" s="71">
        <f t="shared" si="25"/>
        <v>1.3962634015954636</v>
      </c>
      <c r="G77" s="71">
        <f t="shared" si="30"/>
        <v>208.34216634108682</v>
      </c>
      <c r="H77" s="71">
        <f t="shared" si="31"/>
        <v>20.442283082501756</v>
      </c>
      <c r="I77" s="71">
        <f t="shared" si="32"/>
        <v>26.691496704743898</v>
      </c>
      <c r="J77" s="71">
        <f t="shared" si="27"/>
        <v>20.442283082501756</v>
      </c>
      <c r="K77" s="71">
        <f t="shared" si="33"/>
        <v>34.21941447956511</v>
      </c>
      <c r="L77" s="71">
        <f t="shared" si="34"/>
        <v>1.9842660051430312</v>
      </c>
      <c r="M77" s="71">
        <f t="shared" si="28"/>
        <v>3.483033492591896</v>
      </c>
      <c r="N77" s="71">
        <f t="shared" si="35"/>
        <v>0.1136516527724497</v>
      </c>
      <c r="O77" s="71">
        <f t="shared" si="36"/>
        <v>28.85053380328698</v>
      </c>
      <c r="P77" s="71">
        <f t="shared" si="37"/>
        <v>-0.08564740552553796</v>
      </c>
    </row>
    <row r="78" spans="2:16" s="69" customFormat="1" ht="13.5">
      <c r="B78" s="71">
        <f t="shared" si="4"/>
        <v>21.967169619940606</v>
      </c>
      <c r="C78" s="69">
        <f t="shared" si="29"/>
        <v>36.001000000000005</v>
      </c>
      <c r="D78" s="69">
        <f t="shared" si="26"/>
        <v>81</v>
      </c>
      <c r="E78" s="71">
        <f t="shared" si="24"/>
        <v>0.6283359840104786</v>
      </c>
      <c r="F78" s="71">
        <f t="shared" si="25"/>
        <v>1.413716694115407</v>
      </c>
      <c r="G78" s="71">
        <f t="shared" si="30"/>
        <v>208.34216634108682</v>
      </c>
      <c r="H78" s="71">
        <f t="shared" si="31"/>
        <v>18.415070572518374</v>
      </c>
      <c r="I78" s="71">
        <f t="shared" si="32"/>
        <v>23.97544465412669</v>
      </c>
      <c r="J78" s="71">
        <f t="shared" si="27"/>
        <v>18.415070572518374</v>
      </c>
      <c r="K78" s="71">
        <f t="shared" si="33"/>
        <v>33.15407614426935</v>
      </c>
      <c r="L78" s="71">
        <f t="shared" si="34"/>
        <v>2.0017192976629743</v>
      </c>
      <c r="M78" s="71">
        <f t="shared" si="28"/>
        <v>3.510449285294637</v>
      </c>
      <c r="N78" s="71">
        <f t="shared" si="35"/>
        <v>0.053295622763378</v>
      </c>
      <c r="O78" s="71">
        <f t="shared" si="36"/>
        <v>28.266465644056346</v>
      </c>
      <c r="P78" s="71">
        <f t="shared" si="37"/>
        <v>-0.028507890080181796</v>
      </c>
    </row>
    <row r="79" spans="2:16" s="69" customFormat="1" ht="13.5">
      <c r="B79" s="71">
        <f t="shared" si="4"/>
        <v>22.305746429842365</v>
      </c>
      <c r="C79" s="69">
        <f t="shared" si="29"/>
        <v>36.001000000000005</v>
      </c>
      <c r="D79" s="69">
        <f t="shared" si="26"/>
        <v>82</v>
      </c>
      <c r="E79" s="71">
        <f t="shared" si="24"/>
        <v>0.6283359840104786</v>
      </c>
      <c r="F79" s="71">
        <f t="shared" si="25"/>
        <v>1.43116998663535</v>
      </c>
      <c r="G79" s="71">
        <f t="shared" si="30"/>
        <v>208.34216634108682</v>
      </c>
      <c r="H79" s="71">
        <f t="shared" si="31"/>
        <v>21.274368853074545</v>
      </c>
      <c r="I79" s="71">
        <f t="shared" si="32"/>
        <v>21.274368853074545</v>
      </c>
      <c r="J79" s="71">
        <f t="shared" si="27"/>
        <v>16.355059041525283</v>
      </c>
      <c r="K79" s="71">
        <f t="shared" si="33"/>
        <v>32.09461206045451</v>
      </c>
      <c r="L79" s="71">
        <f t="shared" si="34"/>
        <v>2.0191725901829174</v>
      </c>
      <c r="M79" s="71">
        <f t="shared" si="28"/>
        <v>3.539386779747792</v>
      </c>
      <c r="N79" s="71">
        <f t="shared" si="35"/>
        <v>-0.008036929779261789</v>
      </c>
      <c r="O79" s="71">
        <f t="shared" si="36"/>
        <v>28.30639852026011</v>
      </c>
      <c r="P79" s="71">
        <f t="shared" si="37"/>
        <v>-0.17079578988179553</v>
      </c>
    </row>
    <row r="80" spans="2:16" s="69" customFormat="1" ht="13.5">
      <c r="B80" s="71">
        <f t="shared" si="4"/>
        <v>22.1041861672603</v>
      </c>
      <c r="C80" s="69">
        <f t="shared" si="29"/>
        <v>36.001000000000005</v>
      </c>
      <c r="D80" s="69">
        <f t="shared" si="26"/>
        <v>83</v>
      </c>
      <c r="E80" s="71">
        <f t="shared" si="24"/>
        <v>0.6283359840104786</v>
      </c>
      <c r="F80" s="71">
        <f t="shared" si="25"/>
        <v>1.4486232791552935</v>
      </c>
      <c r="G80" s="71">
        <f t="shared" si="30"/>
        <v>208.34216634108682</v>
      </c>
      <c r="H80" s="71">
        <f t="shared" si="31"/>
        <v>18.586512906677186</v>
      </c>
      <c r="I80" s="71">
        <f t="shared" si="32"/>
        <v>18.586512906677186</v>
      </c>
      <c r="J80" s="71">
        <f t="shared" si="27"/>
        <v>14.26015943222883</v>
      </c>
      <c r="K80" s="71">
        <f t="shared" si="33"/>
        <v>31.040333303609955</v>
      </c>
      <c r="L80" s="71">
        <f t="shared" si="34"/>
        <v>2.036625882702861</v>
      </c>
      <c r="M80" s="71">
        <f t="shared" si="28"/>
        <v>3.569901782381449</v>
      </c>
      <c r="N80" s="71">
        <f t="shared" si="35"/>
        <v>-0.0704082021850964</v>
      </c>
      <c r="O80" s="71">
        <f t="shared" si="36"/>
        <v>27.677439694550213</v>
      </c>
      <c r="P80" s="71">
        <f t="shared" si="37"/>
        <v>-0.08708454701762314</v>
      </c>
    </row>
    <row r="81" spans="2:16" s="69" customFormat="1" ht="13.5">
      <c r="B81" s="71">
        <f t="shared" si="4"/>
        <v>21.901116662855518</v>
      </c>
      <c r="C81" s="69">
        <f t="shared" si="29"/>
        <v>36.001000000000005</v>
      </c>
      <c r="D81" s="69">
        <f t="shared" si="26"/>
        <v>84</v>
      </c>
      <c r="E81" s="71">
        <f aca="true" t="shared" si="38" ref="E81:E91">C81*PI()/180</f>
        <v>0.6283359840104786</v>
      </c>
      <c r="F81" s="71">
        <f aca="true" t="shared" si="39" ref="F81:F91">D81*PI()/180</f>
        <v>1.4660765716752369</v>
      </c>
      <c r="G81" s="71">
        <f t="shared" si="30"/>
        <v>208.34216634108682</v>
      </c>
      <c r="H81" s="71">
        <f t="shared" si="31"/>
        <v>15.910153613341771</v>
      </c>
      <c r="I81" s="71">
        <f t="shared" si="32"/>
        <v>15.910153613341771</v>
      </c>
      <c r="J81" s="71">
        <f t="shared" si="27"/>
        <v>12.128168042573405</v>
      </c>
      <c r="K81" s="71">
        <f t="shared" si="33"/>
        <v>29.990563968899536</v>
      </c>
      <c r="L81" s="71">
        <f t="shared" si="34"/>
        <v>2.0540791752228045</v>
      </c>
      <c r="M81" s="71">
        <f t="shared" si="28"/>
        <v>3.602054296824678</v>
      </c>
      <c r="N81" s="71">
        <f t="shared" si="35"/>
        <v>-0.1338838050927462</v>
      </c>
      <c r="O81" s="71">
        <f t="shared" si="36"/>
        <v>27.071268978442763</v>
      </c>
      <c r="P81" s="71">
        <f t="shared" si="37"/>
        <v>8.853671958332486E-05</v>
      </c>
    </row>
    <row r="82" spans="2:16" s="69" customFormat="1" ht="13.5">
      <c r="B82" s="71">
        <f t="shared" si="4"/>
        <v>21.69649543218499</v>
      </c>
      <c r="C82" s="69">
        <f t="shared" si="29"/>
        <v>36.001000000000005</v>
      </c>
      <c r="D82" s="69">
        <f>D51</f>
        <v>85</v>
      </c>
      <c r="E82" s="71">
        <f t="shared" si="38"/>
        <v>0.6283359840104786</v>
      </c>
      <c r="F82" s="71">
        <f t="shared" si="39"/>
        <v>1.4835298641951802</v>
      </c>
      <c r="G82" s="71">
        <f t="shared" si="30"/>
        <v>208.34216634108682</v>
      </c>
      <c r="H82" s="71">
        <f t="shared" si="31"/>
        <v>13.24359644123674</v>
      </c>
      <c r="I82" s="71">
        <f t="shared" si="32"/>
        <v>13.24359644123674</v>
      </c>
      <c r="J82" s="71">
        <f t="shared" si="27"/>
        <v>9.956756386451493</v>
      </c>
      <c r="K82" s="71">
        <f t="shared" si="33"/>
        <v>28.944639396851734</v>
      </c>
      <c r="L82" s="71">
        <f t="shared" si="34"/>
        <v>2.0715324677427476</v>
      </c>
      <c r="M82" s="71">
        <f t="shared" si="28"/>
        <v>3.6359088404790922</v>
      </c>
      <c r="N82" s="71">
        <f t="shared" si="35"/>
        <v>-0.1985330643260647</v>
      </c>
      <c r="O82" s="71">
        <f t="shared" si="36"/>
        <v>26.48653028879044</v>
      </c>
      <c r="P82" s="71">
        <f t="shared" si="37"/>
        <v>0.08956471206724322</v>
      </c>
    </row>
    <row r="83" spans="2:16" s="69" customFormat="1" ht="13.5">
      <c r="B83" s="71">
        <f t="shared" si="4"/>
        <v>21.490272825355135</v>
      </c>
      <c r="C83" s="69">
        <f t="shared" si="29"/>
        <v>36.001000000000005</v>
      </c>
      <c r="D83" s="69">
        <f t="shared" si="26"/>
        <v>86</v>
      </c>
      <c r="E83" s="71">
        <f t="shared" si="38"/>
        <v>0.6283359840104786</v>
      </c>
      <c r="F83" s="71">
        <f t="shared" si="39"/>
        <v>1.5009831567151233</v>
      </c>
      <c r="G83" s="71">
        <f t="shared" si="30"/>
        <v>208.34216634108682</v>
      </c>
      <c r="H83" s="71">
        <f t="shared" si="31"/>
        <v>10.585171157948913</v>
      </c>
      <c r="I83" s="71">
        <f t="shared" si="32"/>
        <v>10.585171157948913</v>
      </c>
      <c r="J83" s="71">
        <f t="shared" si="27"/>
        <v>7.743460086500027</v>
      </c>
      <c r="K83" s="71">
        <f t="shared" si="33"/>
        <v>27.90190445914594</v>
      </c>
      <c r="L83" s="71">
        <f t="shared" si="34"/>
        <v>2.0889857602626907</v>
      </c>
      <c r="M83" s="71">
        <f t="shared" si="28"/>
        <v>3.6715347939252476</v>
      </c>
      <c r="N83" s="71">
        <f t="shared" si="35"/>
        <v>-0.26442935158799213</v>
      </c>
      <c r="O83" s="71">
        <f t="shared" si="36"/>
        <v>25.9219528001891</v>
      </c>
      <c r="P83" s="71">
        <f t="shared" si="37"/>
        <v>0.1799831575465837</v>
      </c>
    </row>
    <row r="84" spans="2:16" s="69" customFormat="1" ht="13.5">
      <c r="B84" s="71">
        <f>O84*SIN(F84-F$4)</f>
        <v>21.28239233858133</v>
      </c>
      <c r="C84" s="69">
        <f t="shared" si="29"/>
        <v>36.001000000000005</v>
      </c>
      <c r="D84" s="69">
        <f t="shared" si="26"/>
        <v>87</v>
      </c>
      <c r="E84" s="71">
        <f t="shared" si="38"/>
        <v>0.6283359840104786</v>
      </c>
      <c r="F84" s="71">
        <f t="shared" si="39"/>
        <v>1.5184364492350666</v>
      </c>
      <c r="G84" s="71">
        <f t="shared" si="30"/>
        <v>208.34216634108682</v>
      </c>
      <c r="H84" s="71">
        <f t="shared" si="31"/>
        <v>7.933227588970383</v>
      </c>
      <c r="I84" s="71">
        <f t="shared" si="32"/>
        <v>7.933227588970383</v>
      </c>
      <c r="J84" s="71">
        <f t="shared" si="27"/>
        <v>5.4856666823648865</v>
      </c>
      <c r="K84" s="71">
        <f t="shared" si="33"/>
        <v>26.861711894930572</v>
      </c>
      <c r="L84" s="71">
        <f t="shared" si="34"/>
        <v>2.106439052782634</v>
      </c>
      <c r="M84" s="71">
        <f t="shared" si="28"/>
        <v>3.7090067869585464</v>
      </c>
      <c r="N84" s="71">
        <f t="shared" si="35"/>
        <v>-0.3316504474440855</v>
      </c>
      <c r="O84" s="71">
        <f t="shared" si="36"/>
        <v>25.37634340825738</v>
      </c>
      <c r="P84" s="71">
        <f t="shared" si="37"/>
        <v>0.2698971871867634</v>
      </c>
    </row>
    <row r="85" spans="2:16" s="69" customFormat="1" ht="13.5">
      <c r="B85" s="71">
        <f t="shared" si="4"/>
        <v>21.072790861091736</v>
      </c>
      <c r="C85" s="69">
        <f>C84</f>
        <v>36.001000000000005</v>
      </c>
      <c r="D85" s="69">
        <f t="shared" si="26"/>
        <v>88</v>
      </c>
      <c r="E85" s="71">
        <f t="shared" si="38"/>
        <v>0.6283359840104786</v>
      </c>
      <c r="F85" s="71">
        <f t="shared" si="39"/>
        <v>1.53588974175501</v>
      </c>
      <c r="G85" s="71">
        <f t="shared" si="30"/>
        <v>208.34216634108682</v>
      </c>
      <c r="H85" s="71">
        <f t="shared" si="31"/>
        <v>5.286131481813329</v>
      </c>
      <c r="I85" s="71">
        <f t="shared" si="32"/>
        <v>5.286131481813329</v>
      </c>
      <c r="J85" s="71">
        <f t="shared" si="27"/>
        <v>3.180602221976846</v>
      </c>
      <c r="K85" s="71">
        <f t="shared" si="33"/>
        <v>25.823420688572526</v>
      </c>
      <c r="L85" s="71">
        <f t="shared" si="34"/>
        <v>2.1238923453025773</v>
      </c>
      <c r="M85" s="71">
        <f t="shared" si="28"/>
        <v>3.7484051255774977</v>
      </c>
      <c r="N85" s="71">
        <f t="shared" si="35"/>
        <v>-0.4002789405393484</v>
      </c>
      <c r="O85" s="71">
        <f t="shared" si="36"/>
        <v>24.84857988196553</v>
      </c>
      <c r="P85" s="71">
        <f t="shared" si="37"/>
        <v>0.3579097354575527</v>
      </c>
    </row>
    <row r="86" spans="2:16" s="69" customFormat="1" ht="13.5">
      <c r="B86" s="71">
        <f t="shared" si="4"/>
        <v>20.86139886306462</v>
      </c>
      <c r="C86" s="69">
        <f t="shared" si="29"/>
        <v>36.001000000000005</v>
      </c>
      <c r="D86" s="69">
        <f>D55</f>
        <v>89</v>
      </c>
      <c r="E86" s="71">
        <f t="shared" si="38"/>
        <v>0.6283359840104786</v>
      </c>
      <c r="F86" s="71">
        <f t="shared" si="39"/>
        <v>1.5533430342749535</v>
      </c>
      <c r="G86" s="71">
        <f t="shared" si="30"/>
        <v>208.34216634108682</v>
      </c>
      <c r="H86" s="71">
        <f t="shared" si="31"/>
        <v>2.642260453508916</v>
      </c>
      <c r="I86" s="71">
        <f t="shared" si="32"/>
        <v>2.642260453508916</v>
      </c>
      <c r="J86" s="71">
        <f t="shared" si="27"/>
        <v>0.8253164850416557</v>
      </c>
      <c r="K86" s="71">
        <f t="shared" si="33"/>
        <v>24.78639448011291</v>
      </c>
      <c r="L86" s="71">
        <f t="shared" si="34"/>
        <v>2.141345637822521</v>
      </c>
      <c r="M86" s="71">
        <f t="shared" si="28"/>
        <v>3.7898162648555984</v>
      </c>
      <c r="N86" s="71">
        <f t="shared" si="35"/>
        <v>-0.47040266753803595</v>
      </c>
      <c r="O86" s="71">
        <f t="shared" si="36"/>
        <v>24.337604626281102</v>
      </c>
      <c r="P86" s="71">
        <f t="shared" si="37"/>
        <v>0.44279764598401333</v>
      </c>
    </row>
    <row r="87" spans="2:16" s="69" customFormat="1" ht="13.5">
      <c r="B87" s="71">
        <f t="shared" si="4"/>
        <v>20.64814052935743</v>
      </c>
      <c r="C87" s="69">
        <f t="shared" si="29"/>
        <v>36.001000000000005</v>
      </c>
      <c r="D87" s="69">
        <f t="shared" si="26"/>
        <v>90</v>
      </c>
      <c r="E87" s="71">
        <f t="shared" si="38"/>
        <v>0.6283359840104786</v>
      </c>
      <c r="F87" s="71">
        <f t="shared" si="39"/>
        <v>1.5707963267948966</v>
      </c>
      <c r="G87" s="71">
        <f t="shared" si="30"/>
        <v>208.34216634108682</v>
      </c>
      <c r="H87" s="71">
        <f t="shared" si="31"/>
        <v>9.272842368089618E-15</v>
      </c>
      <c r="I87" s="71">
        <f t="shared" si="32"/>
        <v>9.272842368089618E-15</v>
      </c>
      <c r="J87" s="71">
        <f t="shared" si="27"/>
        <v>-1.5833333333333073</v>
      </c>
      <c r="K87" s="71">
        <f t="shared" si="33"/>
        <v>23.750000000000007</v>
      </c>
      <c r="L87" s="71">
        <f t="shared" si="34"/>
        <v>2.158798930342464</v>
      </c>
      <c r="M87" s="71">
        <f t="shared" si="28"/>
        <v>3.8333333333333317</v>
      </c>
      <c r="N87" s="71">
        <f t="shared" si="35"/>
        <v>-0.5421151989096857</v>
      </c>
      <c r="O87" s="71">
        <f t="shared" si="36"/>
        <v>23.842418985779467</v>
      </c>
      <c r="P87" s="71">
        <f t="shared" si="37"/>
        <v>0.5235987755982985</v>
      </c>
    </row>
    <row r="88" spans="2:16" s="69" customFormat="1" ht="13.5">
      <c r="B88" s="71">
        <f t="shared" si="4"/>
        <v>34.91557889187609</v>
      </c>
      <c r="C88" s="69">
        <f>C87+J21</f>
        <v>42.001000000000005</v>
      </c>
      <c r="D88" s="69">
        <f>D57</f>
        <v>60</v>
      </c>
      <c r="E88" s="71">
        <f t="shared" si="38"/>
        <v>0.7330557391301384</v>
      </c>
      <c r="F88" s="71">
        <f t="shared" si="39"/>
        <v>1.0471975511965976</v>
      </c>
      <c r="G88" s="71">
        <f t="shared" si="30"/>
        <v>168.11306876242946</v>
      </c>
      <c r="H88" s="71">
        <f t="shared" si="31"/>
        <v>56.61327536344993</v>
      </c>
      <c r="I88" s="71">
        <f t="shared" si="32"/>
        <v>87.39639699857963</v>
      </c>
      <c r="J88" s="71">
        <f t="shared" si="27"/>
        <v>56.61327536344993</v>
      </c>
      <c r="K88" s="71">
        <f t="shared" si="33"/>
        <v>58.03017223313404</v>
      </c>
      <c r="L88" s="71">
        <f t="shared" si="34"/>
        <v>1.6352001547441652</v>
      </c>
      <c r="M88" s="71">
        <f t="shared" si="28"/>
        <v>3.196152422706631</v>
      </c>
      <c r="N88" s="71">
        <f t="shared" si="35"/>
        <v>1.1905676074715958</v>
      </c>
      <c r="O88" s="71">
        <f t="shared" si="36"/>
        <v>69.83115778375219</v>
      </c>
      <c r="P88" s="71">
        <f t="shared" si="37"/>
        <v>0.11016980718872453</v>
      </c>
    </row>
    <row r="89" spans="2:16" s="69" customFormat="1" ht="13.5">
      <c r="B89" s="71">
        <f t="shared" si="4"/>
        <v>35.02084975582813</v>
      </c>
      <c r="C89" s="69">
        <f>C88</f>
        <v>42.001000000000005</v>
      </c>
      <c r="D89" s="69">
        <f aca="true" t="shared" si="40" ref="D89:D152">D58</f>
        <v>61</v>
      </c>
      <c r="E89" s="71">
        <f t="shared" si="38"/>
        <v>0.7330557391301384</v>
      </c>
      <c r="F89" s="71">
        <f t="shared" si="39"/>
        <v>1.064650843716541</v>
      </c>
      <c r="G89" s="71">
        <f t="shared" si="30"/>
        <v>168.11306876242946</v>
      </c>
      <c r="H89" s="71">
        <f t="shared" si="31"/>
        <v>54.91741842603781</v>
      </c>
      <c r="I89" s="71">
        <f t="shared" si="32"/>
        <v>83.90853266366291</v>
      </c>
      <c r="J89" s="71">
        <f t="shared" si="27"/>
        <v>54.91741842603781</v>
      </c>
      <c r="K89" s="71">
        <f t="shared" si="33"/>
        <v>56.662099930008154</v>
      </c>
      <c r="L89" s="71">
        <f t="shared" si="34"/>
        <v>1.6526534472641083</v>
      </c>
      <c r="M89" s="71">
        <f t="shared" si="28"/>
        <v>3.200241894286732</v>
      </c>
      <c r="N89" s="71">
        <f t="shared" si="35"/>
        <v>1.1400769994561701</v>
      </c>
      <c r="O89" s="71">
        <f t="shared" si="36"/>
        <v>67.99662289422805</v>
      </c>
      <c r="P89" s="71">
        <f t="shared" si="37"/>
        <v>0.09584992017073932</v>
      </c>
    </row>
    <row r="90" spans="2:16" s="69" customFormat="1" ht="13.5">
      <c r="B90" s="71">
        <f t="shared" si="4"/>
        <v>35.106293564001206</v>
      </c>
      <c r="C90" s="69">
        <f aca="true" t="shared" si="41" ref="C90:C118">C89</f>
        <v>42.001000000000005</v>
      </c>
      <c r="D90" s="69">
        <f t="shared" si="40"/>
        <v>62</v>
      </c>
      <c r="E90" s="71">
        <f t="shared" si="38"/>
        <v>0.7330557391301384</v>
      </c>
      <c r="F90" s="71">
        <f t="shared" si="39"/>
        <v>1.0821041362364843</v>
      </c>
      <c r="G90" s="71">
        <f t="shared" si="30"/>
        <v>168.11306876242946</v>
      </c>
      <c r="H90" s="71">
        <f t="shared" si="31"/>
        <v>53.21669751699319</v>
      </c>
      <c r="I90" s="71">
        <f t="shared" si="32"/>
        <v>80.48751521775635</v>
      </c>
      <c r="J90" s="71">
        <f t="shared" si="27"/>
        <v>53.21669751699319</v>
      </c>
      <c r="K90" s="71">
        <f t="shared" si="33"/>
        <v>55.3202475049003</v>
      </c>
      <c r="L90" s="71">
        <f t="shared" si="34"/>
        <v>1.6701067397840519</v>
      </c>
      <c r="M90" s="71">
        <f>J$18/SIN(L90)*SIN(J$19)</f>
        <v>3.205319466443784</v>
      </c>
      <c r="N90" s="71">
        <f t="shared" si="35"/>
        <v>1.0894415768165406</v>
      </c>
      <c r="O90" s="71">
        <f t="shared" si="36"/>
        <v>66.24838146769422</v>
      </c>
      <c r="P90" s="71">
        <f t="shared" si="37"/>
        <v>0.08426111837556823</v>
      </c>
    </row>
    <row r="91" spans="2:16" s="69" customFormat="1" ht="13.5">
      <c r="B91" s="71">
        <f aca="true" t="shared" si="42" ref="B91:B102">O91*SIN(F91-F$4)</f>
        <v>35.17295103460559</v>
      </c>
      <c r="C91" s="69">
        <f t="shared" si="41"/>
        <v>42.001000000000005</v>
      </c>
      <c r="D91" s="69">
        <f t="shared" si="40"/>
        <v>63</v>
      </c>
      <c r="E91" s="71">
        <f t="shared" si="38"/>
        <v>0.7330557391301384</v>
      </c>
      <c r="F91" s="71">
        <f t="shared" si="39"/>
        <v>1.0995574287564276</v>
      </c>
      <c r="G91" s="71">
        <f t="shared" si="30"/>
        <v>168.11306876242946</v>
      </c>
      <c r="H91" s="71">
        <f t="shared" si="31"/>
        <v>51.51005054407396</v>
      </c>
      <c r="I91" s="71">
        <f t="shared" si="32"/>
        <v>77.12941491721917</v>
      </c>
      <c r="J91" s="71">
        <f t="shared" si="27"/>
        <v>51.51005054407396</v>
      </c>
      <c r="K91" s="71">
        <f t="shared" si="33"/>
        <v>54.00307356373172</v>
      </c>
      <c r="L91" s="71">
        <f t="shared" si="34"/>
        <v>1.687560032303995</v>
      </c>
      <c r="M91" s="71">
        <f>J$18/SIN(L91)*SIN(J$19)</f>
        <v>3.2113929525108333</v>
      </c>
      <c r="N91" s="71">
        <f t="shared" si="35"/>
        <v>1.0386297179684278</v>
      </c>
      <c r="O91" s="71">
        <f t="shared" si="36"/>
        <v>64.58029772624567</v>
      </c>
      <c r="P91" s="71">
        <f t="shared" si="37"/>
        <v>0.07524357410714075</v>
      </c>
    </row>
    <row r="92" spans="2:16" s="69" customFormat="1" ht="13.5">
      <c r="B92" s="71">
        <f t="shared" si="42"/>
        <v>35.22174870746764</v>
      </c>
      <c r="C92" s="69">
        <f t="shared" si="41"/>
        <v>42.001000000000005</v>
      </c>
      <c r="D92" s="69">
        <f t="shared" si="40"/>
        <v>64</v>
      </c>
      <c r="E92" s="71">
        <f aca="true" t="shared" si="43" ref="E92:E101">C92*PI()/180</f>
        <v>0.7330557391301384</v>
      </c>
      <c r="F92" s="71">
        <f aca="true" t="shared" si="44" ref="F92:F101">D92*PI()/180</f>
        <v>1.117010721276371</v>
      </c>
      <c r="G92" s="71">
        <f aca="true" t="shared" si="45" ref="G92:G101">(0.5*$D$3*$D$9+$D$5)*$D$9/TAN(E92)</f>
        <v>168.11306876242946</v>
      </c>
      <c r="H92" s="71">
        <f aca="true" t="shared" si="46" ref="H92:H101">IF(D92&gt;$F$17,I92,IF(D92&lt;$F$16,K92,J92))</f>
        <v>49.7964007486329</v>
      </c>
      <c r="I92" s="71">
        <f aca="true" t="shared" si="47" ref="I92:I101">(0.5*$D$3*$D$9+$D$6)*$D$9/TAN(F92)</f>
        <v>73.83052059415728</v>
      </c>
      <c r="J92" s="71">
        <f aca="true" t="shared" si="48" ref="J92:J101">0.5*$J$18*N92*$D$3+$G$18</f>
        <v>49.7964007486329</v>
      </c>
      <c r="K92" s="71">
        <f aca="true" t="shared" si="49" ref="K92:K101">0.5*$D$3*$D$8^2*(1/TAN(F92)-1/TAN($D$16))+$G$19</f>
        <v>52.70912244609802</v>
      </c>
      <c r="L92" s="71">
        <f aca="true" t="shared" si="50" ref="L92:L101">F92+D$14</f>
        <v>1.7050133248239385</v>
      </c>
      <c r="M92" s="71">
        <f aca="true" t="shared" si="51" ref="M92:M101">J$18/SIN(L92)*SIN(J$19)</f>
        <v>3.21847173736185</v>
      </c>
      <c r="N92" s="71">
        <f aca="true" t="shared" si="52" ref="N92:N101">M92*SIN(D$17-F92)</f>
        <v>0.9876093646658881</v>
      </c>
      <c r="O92" s="71">
        <f aca="true" t="shared" si="53" ref="O92:O101">SIN(E92-F$4)/SIN(E92+F92-2*F$4)*(G92+H92)</f>
        <v>62.98675911095534</v>
      </c>
      <c r="P92" s="71">
        <f aca="true" t="shared" si="54" ref="P92:P101">ATAN((O92*COS(F92-F$4)-H92)/(O92*SIN(F92-F$4)))</f>
        <v>0.06865594581383856</v>
      </c>
    </row>
    <row r="93" spans="2:16" s="69" customFormat="1" ht="13.5">
      <c r="B93" s="71">
        <f t="shared" si="42"/>
        <v>35.25351011786552</v>
      </c>
      <c r="C93" s="69">
        <f t="shared" si="41"/>
        <v>42.001000000000005</v>
      </c>
      <c r="D93" s="69">
        <f t="shared" si="40"/>
        <v>65</v>
      </c>
      <c r="E93" s="71">
        <f t="shared" si="43"/>
        <v>0.7330557391301384</v>
      </c>
      <c r="F93" s="71">
        <f t="shared" si="44"/>
        <v>1.1344640137963142</v>
      </c>
      <c r="G93" s="71">
        <f t="shared" si="45"/>
        <v>168.11306876242946</v>
      </c>
      <c r="H93" s="71">
        <f t="shared" si="46"/>
        <v>48.07465394252364</v>
      </c>
      <c r="I93" s="71">
        <f t="shared" si="47"/>
        <v>70.58732175321292</v>
      </c>
      <c r="J93" s="71">
        <f t="shared" si="48"/>
        <v>48.07465394252364</v>
      </c>
      <c r="K93" s="71">
        <f t="shared" si="49"/>
        <v>51.43701720295304</v>
      </c>
      <c r="L93" s="71">
        <f t="shared" si="50"/>
        <v>1.7224666173438816</v>
      </c>
      <c r="M93" s="71">
        <f t="shared" si="51"/>
        <v>3.2265668130425462</v>
      </c>
      <c r="N93" s="71">
        <f t="shared" si="52"/>
        <v>0.9363479397359457</v>
      </c>
      <c r="O93" s="71">
        <f t="shared" si="53"/>
        <v>61.46261924938858</v>
      </c>
      <c r="P93" s="71">
        <f t="shared" si="54"/>
        <v>0.06437475643204957</v>
      </c>
    </row>
    <row r="94" spans="2:16" s="69" customFormat="1" ht="13.5">
      <c r="B94" s="71">
        <f t="shared" si="42"/>
        <v>35.26896547215845</v>
      </c>
      <c r="C94" s="69">
        <f t="shared" si="41"/>
        <v>42.001000000000005</v>
      </c>
      <c r="D94" s="69">
        <f t="shared" si="40"/>
        <v>66</v>
      </c>
      <c r="E94" s="71">
        <f t="shared" si="43"/>
        <v>0.7330557391301384</v>
      </c>
      <c r="F94" s="71">
        <f t="shared" si="44"/>
        <v>1.1519173063162575</v>
      </c>
      <c r="G94" s="71">
        <f t="shared" si="45"/>
        <v>168.11306876242946</v>
      </c>
      <c r="H94" s="71">
        <f t="shared" si="46"/>
        <v>46.34369565210348</v>
      </c>
      <c r="I94" s="71">
        <f t="shared" si="47"/>
        <v>67.39649223857965</v>
      </c>
      <c r="J94" s="71">
        <f t="shared" si="48"/>
        <v>46.34369565210348</v>
      </c>
      <c r="K94" s="71">
        <f t="shared" si="49"/>
        <v>50.18545319019432</v>
      </c>
      <c r="L94" s="71">
        <f t="shared" si="50"/>
        <v>1.7399199098638252</v>
      </c>
      <c r="M94" s="71">
        <f t="shared" si="51"/>
        <v>3.235690820800044</v>
      </c>
      <c r="N94" s="71">
        <f t="shared" si="52"/>
        <v>0.8848122620472225</v>
      </c>
      <c r="O94" s="71">
        <f t="shared" si="53"/>
        <v>60.003147977263524</v>
      </c>
      <c r="P94" s="71">
        <f t="shared" si="54"/>
        <v>0.06229342144212508</v>
      </c>
    </row>
    <row r="95" spans="2:16" s="69" customFormat="1" ht="13.5">
      <c r="B95" s="71">
        <f t="shared" si="42"/>
        <v>35.26876003236994</v>
      </c>
      <c r="C95" s="69">
        <f t="shared" si="41"/>
        <v>42.001000000000005</v>
      </c>
      <c r="D95" s="69">
        <f t="shared" si="40"/>
        <v>67</v>
      </c>
      <c r="E95" s="71">
        <f t="shared" si="43"/>
        <v>0.7330557391301384</v>
      </c>
      <c r="F95" s="71">
        <f t="shared" si="44"/>
        <v>1.1693705988362006</v>
      </c>
      <c r="G95" s="71">
        <f t="shared" si="45"/>
        <v>168.11306876242946</v>
      </c>
      <c r="H95" s="71">
        <f t="shared" si="46"/>
        <v>44.602388153158174</v>
      </c>
      <c r="I95" s="71">
        <f t="shared" si="47"/>
        <v>64.25487530372895</v>
      </c>
      <c r="J95" s="71">
        <f t="shared" si="48"/>
        <v>44.602388153158174</v>
      </c>
      <c r="K95" s="71">
        <f t="shared" si="49"/>
        <v>48.95319221244529</v>
      </c>
      <c r="L95" s="71">
        <f t="shared" si="50"/>
        <v>1.7573732023837683</v>
      </c>
      <c r="M95" s="71">
        <f t="shared" si="51"/>
        <v>3.2458580998131934</v>
      </c>
      <c r="N95" s="71">
        <f t="shared" si="52"/>
        <v>0.8329684582310031</v>
      </c>
      <c r="O95" s="71">
        <f t="shared" si="53"/>
        <v>58.6039873974022</v>
      </c>
      <c r="P95" s="71">
        <f t="shared" si="54"/>
        <v>0.06232107913921524</v>
      </c>
    </row>
    <row r="96" spans="2:16" s="69" customFormat="1" ht="13.5">
      <c r="B96" s="71">
        <f t="shared" si="42"/>
        <v>35.25346138289209</v>
      </c>
      <c r="C96" s="69">
        <f t="shared" si="41"/>
        <v>42.001000000000005</v>
      </c>
      <c r="D96" s="69">
        <f t="shared" si="40"/>
        <v>68</v>
      </c>
      <c r="E96" s="71">
        <f t="shared" si="43"/>
        <v>0.7330557391301384</v>
      </c>
      <c r="F96" s="71">
        <f t="shared" si="44"/>
        <v>1.1868238913561442</v>
      </c>
      <c r="G96" s="71">
        <f t="shared" si="45"/>
        <v>168.11306876242946</v>
      </c>
      <c r="H96" s="71">
        <f t="shared" si="46"/>
        <v>42.84956737955771</v>
      </c>
      <c r="I96" s="71">
        <f t="shared" si="47"/>
        <v>61.15946993579685</v>
      </c>
      <c r="J96" s="71">
        <f t="shared" si="48"/>
        <v>42.84956737955771</v>
      </c>
      <c r="K96" s="71">
        <f t="shared" si="49"/>
        <v>47.739057158962424</v>
      </c>
      <c r="L96" s="71">
        <f t="shared" si="50"/>
        <v>1.7748264949037118</v>
      </c>
      <c r="M96" s="71">
        <f t="shared" si="51"/>
        <v>3.2570847429771757</v>
      </c>
      <c r="N96" s="71">
        <f t="shared" si="52"/>
        <v>0.7807818706428962</v>
      </c>
      <c r="O96" s="71">
        <f t="shared" si="53"/>
        <v>57.26111312104518</v>
      </c>
      <c r="P96" s="71">
        <f t="shared" si="54"/>
        <v>0.06438132146465335</v>
      </c>
    </row>
    <row r="97" spans="2:16" s="69" customFormat="1" ht="13.5">
      <c r="B97" s="71">
        <f t="shared" si="42"/>
        <v>35.223565724399776</v>
      </c>
      <c r="C97" s="69">
        <f t="shared" si="41"/>
        <v>42.001000000000005</v>
      </c>
      <c r="D97" s="69">
        <f t="shared" si="40"/>
        <v>69</v>
      </c>
      <c r="E97" s="71">
        <f t="shared" si="43"/>
        <v>0.7330557391301384</v>
      </c>
      <c r="F97" s="71">
        <f t="shared" si="44"/>
        <v>1.2042771838760873</v>
      </c>
      <c r="G97" s="71">
        <f t="shared" si="45"/>
        <v>168.11306876242946</v>
      </c>
      <c r="H97" s="71">
        <f t="shared" si="46"/>
        <v>41.08403968726031</v>
      </c>
      <c r="I97" s="71">
        <f t="shared" si="47"/>
        <v>58.107418303486085</v>
      </c>
      <c r="J97" s="71">
        <f t="shared" si="48"/>
        <v>41.08403968726031</v>
      </c>
      <c r="K97" s="71">
        <f t="shared" si="49"/>
        <v>46.54192708022782</v>
      </c>
      <c r="L97" s="71">
        <f t="shared" si="50"/>
        <v>1.792279787423655</v>
      </c>
      <c r="M97" s="71">
        <f t="shared" si="51"/>
        <v>3.2693886601519666</v>
      </c>
      <c r="N97" s="71">
        <f t="shared" si="52"/>
        <v>0.7282169610177962</v>
      </c>
      <c r="O97" s="71">
        <f t="shared" si="53"/>
        <v>55.970799969852465</v>
      </c>
      <c r="P97" s="71">
        <f t="shared" si="54"/>
        <v>0.06841088447033411</v>
      </c>
    </row>
    <row r="98" spans="2:16" s="69" customFormat="1" ht="13.5">
      <c r="B98" s="71">
        <f t="shared" si="42"/>
        <v>35.17950331675146</v>
      </c>
      <c r="C98" s="69">
        <f t="shared" si="41"/>
        <v>42.001000000000005</v>
      </c>
      <c r="D98" s="69">
        <f t="shared" si="40"/>
        <v>70</v>
      </c>
      <c r="E98" s="71">
        <f t="shared" si="43"/>
        <v>0.7330557391301384</v>
      </c>
      <c r="F98" s="71">
        <f t="shared" si="44"/>
        <v>1.2217304763960306</v>
      </c>
      <c r="G98" s="71">
        <f t="shared" si="45"/>
        <v>168.11306876242946</v>
      </c>
      <c r="H98" s="71">
        <f t="shared" si="46"/>
        <v>39.30457845389725</v>
      </c>
      <c r="I98" s="71">
        <f t="shared" si="47"/>
        <v>55.09599421204639</v>
      </c>
      <c r="J98" s="71">
        <f t="shared" si="48"/>
        <v>39.30457845389725</v>
      </c>
      <c r="K98" s="71">
        <f t="shared" si="49"/>
        <v>45.360732659555765</v>
      </c>
      <c r="L98" s="71">
        <f t="shared" si="50"/>
        <v>1.809733079943598</v>
      </c>
      <c r="M98" s="71">
        <f t="shared" si="51"/>
        <v>3.2827896493451227</v>
      </c>
      <c r="N98" s="71">
        <f t="shared" si="52"/>
        <v>0.6752372092296027</v>
      </c>
      <c r="O98" s="71">
        <f t="shared" si="53"/>
        <v>54.72959152698515</v>
      </c>
      <c r="P98" s="71">
        <f t="shared" si="54"/>
        <v>0.07435832947907604</v>
      </c>
    </row>
    <row r="99" spans="2:16" s="69" customFormat="1" ht="13.5">
      <c r="B99" s="71">
        <f t="shared" si="42"/>
        <v>35.1216431731928</v>
      </c>
      <c r="C99" s="69">
        <f t="shared" si="41"/>
        <v>42.001000000000005</v>
      </c>
      <c r="D99" s="69">
        <f t="shared" si="40"/>
        <v>71</v>
      </c>
      <c r="E99" s="71">
        <f t="shared" si="43"/>
        <v>0.7330557391301384</v>
      </c>
      <c r="F99" s="71">
        <f t="shared" si="44"/>
        <v>1.239183768915974</v>
      </c>
      <c r="G99" s="71">
        <f t="shared" si="45"/>
        <v>168.11306876242946</v>
      </c>
      <c r="H99" s="71">
        <f t="shared" si="46"/>
        <v>37.50992049257642</v>
      </c>
      <c r="I99" s="71">
        <f t="shared" si="47"/>
        <v>52.12259246172309</v>
      </c>
      <c r="J99" s="71">
        <f t="shared" si="48"/>
        <v>37.50992049257642</v>
      </c>
      <c r="K99" s="71">
        <f t="shared" si="49"/>
        <v>44.19445203907388</v>
      </c>
      <c r="L99" s="71">
        <f t="shared" si="50"/>
        <v>1.8271863724635415</v>
      </c>
      <c r="M99" s="71">
        <f t="shared" si="51"/>
        <v>3.297309476365921</v>
      </c>
      <c r="N99" s="71">
        <f t="shared" si="52"/>
        <v>0.6218050065196917</v>
      </c>
      <c r="O99" s="71">
        <f t="shared" si="53"/>
        <v>53.534273016919315</v>
      </c>
      <c r="P99" s="71">
        <f t="shared" si="54"/>
        <v>0.08218272629481266</v>
      </c>
    </row>
    <row r="100" spans="2:16" s="69" customFormat="1" ht="13.5">
      <c r="B100" s="71">
        <f t="shared" si="42"/>
        <v>35.05029709184479</v>
      </c>
      <c r="C100" s="69">
        <f t="shared" si="41"/>
        <v>42.001000000000005</v>
      </c>
      <c r="D100" s="69">
        <f t="shared" si="40"/>
        <v>72</v>
      </c>
      <c r="E100" s="71">
        <f t="shared" si="43"/>
        <v>0.7330557391301384</v>
      </c>
      <c r="F100" s="71">
        <f t="shared" si="44"/>
        <v>1.2566370614359172</v>
      </c>
      <c r="G100" s="71">
        <f t="shared" si="45"/>
        <v>168.11306876242946</v>
      </c>
      <c r="H100" s="71">
        <f t="shared" si="46"/>
        <v>35.698762256707205</v>
      </c>
      <c r="I100" s="71">
        <f t="shared" si="47"/>
        <v>49.18471901725621</v>
      </c>
      <c r="J100" s="71">
        <f t="shared" si="48"/>
        <v>35.698762256707205</v>
      </c>
      <c r="K100" s="71">
        <f t="shared" si="49"/>
        <v>43.042106963828815</v>
      </c>
      <c r="L100" s="71">
        <f t="shared" si="50"/>
        <v>1.8446396649834846</v>
      </c>
      <c r="M100" s="71">
        <f t="shared" si="51"/>
        <v>3.3129719635610875</v>
      </c>
      <c r="N100" s="71">
        <f t="shared" si="52"/>
        <v>0.5678815425034818</v>
      </c>
      <c r="O100" s="71">
        <f t="shared" si="53"/>
        <v>52.38184706954973</v>
      </c>
      <c r="P100" s="71">
        <f t="shared" si="54"/>
        <v>0.09185233613990203</v>
      </c>
    </row>
    <row r="101" spans="2:16" s="69" customFormat="1" ht="13.5">
      <c r="B101" s="71">
        <f t="shared" si="42"/>
        <v>34.965723096661925</v>
      </c>
      <c r="C101" s="69">
        <f t="shared" si="41"/>
        <v>42.001000000000005</v>
      </c>
      <c r="D101" s="69">
        <f t="shared" si="40"/>
        <v>73</v>
      </c>
      <c r="E101" s="71">
        <f t="shared" si="43"/>
        <v>0.7330557391301384</v>
      </c>
      <c r="F101" s="71">
        <f t="shared" si="44"/>
        <v>1.2740903539558606</v>
      </c>
      <c r="G101" s="71">
        <f t="shared" si="45"/>
        <v>168.11306876242946</v>
      </c>
      <c r="H101" s="71">
        <f t="shared" si="46"/>
        <v>33.86975581055276</v>
      </c>
      <c r="I101" s="71">
        <f t="shared" si="47"/>
        <v>46.27998190580472</v>
      </c>
      <c r="J101" s="71">
        <f t="shared" si="48"/>
        <v>33.86975581055276</v>
      </c>
      <c r="K101" s="71">
        <f t="shared" si="49"/>
        <v>41.90275921160796</v>
      </c>
      <c r="L101" s="71">
        <f t="shared" si="50"/>
        <v>1.8620929575034282</v>
      </c>
      <c r="M101" s="71">
        <f t="shared" si="51"/>
        <v>3.3298030883232532</v>
      </c>
      <c r="N101" s="71">
        <f t="shared" si="52"/>
        <v>0.5134266852020202</v>
      </c>
      <c r="O101" s="71">
        <f t="shared" si="53"/>
        <v>51.269511987474075</v>
      </c>
      <c r="P101" s="71">
        <f t="shared" si="54"/>
        <v>0.10334328271564332</v>
      </c>
    </row>
    <row r="102" spans="2:16" s="69" customFormat="1" ht="13.5">
      <c r="B102" s="71">
        <f t="shared" si="42"/>
        <v>34.86812834831717</v>
      </c>
      <c r="C102" s="69">
        <f t="shared" si="41"/>
        <v>42.001000000000005</v>
      </c>
      <c r="D102" s="69">
        <f t="shared" si="40"/>
        <v>74</v>
      </c>
      <c r="E102" s="71">
        <f aca="true" t="shared" si="55" ref="E102:E165">C102*PI()/180</f>
        <v>0.7330557391301384</v>
      </c>
      <c r="F102" s="71">
        <f aca="true" t="shared" si="56" ref="F102:F165">D102*PI()/180</f>
        <v>1.2915436464758039</v>
      </c>
      <c r="G102" s="71">
        <f aca="true" t="shared" si="57" ref="G102:G165">(0.5*$D$3*$D$9+$D$5)*$D$9/TAN(E102)</f>
        <v>168.11306876242946</v>
      </c>
      <c r="H102" s="71">
        <f aca="true" t="shared" si="58" ref="H102:H165">IF(D102&gt;$F$17,I102,IF(D102&lt;$F$16,K102,J102))</f>
        <v>32.02150453781869</v>
      </c>
      <c r="I102" s="71">
        <f aca="true" t="shared" si="59" ref="I102:I122">(0.5*$D$3*$D$9+$D$6)*$D$9/TAN(F102)</f>
        <v>43.40608276923955</v>
      </c>
      <c r="J102" s="71">
        <f aca="true" t="shared" si="60" ref="J102:J133">0.5*$J$18*N102*$D$3+$G$18</f>
        <v>32.02150453781869</v>
      </c>
      <c r="K102" s="71">
        <f aca="true" t="shared" si="61" ref="K102:K122">0.5*$D$3*$D$8^2*(1/TAN(F102)-1/TAN($D$16))+$G$19</f>
        <v>40.77550727942922</v>
      </c>
      <c r="L102" s="71">
        <f aca="true" t="shared" si="62" ref="L102:L165">F102+D$14</f>
        <v>1.8795462500233713</v>
      </c>
      <c r="M102" s="71">
        <f aca="true" t="shared" si="63" ref="M102:M133">J$18/SIN(L102)*SIN(J$19)</f>
        <v>3.347831092152982</v>
      </c>
      <c r="N102" s="71">
        <f aca="true" t="shared" si="64" ref="N102:N165">M102*SIN(D$17-F102)</f>
        <v>0.4583988532741495</v>
      </c>
      <c r="O102" s="71">
        <f aca="true" t="shared" si="65" ref="O102:O165">SIN(E102-F$4)/SIN(E102+F102-2*F$4)*(G102+H102)</f>
        <v>50.194642188329155</v>
      </c>
      <c r="P102" s="71">
        <f aca="true" t="shared" si="66" ref="P102:P165">ATAN((O102*COS(F102-F$4)-H102)/(O102*SIN(F102-F$4)))</f>
        <v>0.11663819379181038</v>
      </c>
    </row>
    <row r="103" spans="2:16" s="69" customFormat="1" ht="13.5">
      <c r="B103" s="71">
        <f aca="true" t="shared" si="67" ref="B103:B158">O103*SIN(F103-F$4)</f>
        <v>34.757671575424716</v>
      </c>
      <c r="C103" s="69">
        <f t="shared" si="41"/>
        <v>42.001000000000005</v>
      </c>
      <c r="D103" s="69">
        <f t="shared" si="40"/>
        <v>75</v>
      </c>
      <c r="E103" s="71">
        <f t="shared" si="55"/>
        <v>0.7330557391301384</v>
      </c>
      <c r="F103" s="71">
        <f t="shared" si="56"/>
        <v>1.3089969389957472</v>
      </c>
      <c r="G103" s="71">
        <f t="shared" si="57"/>
        <v>168.11306876242946</v>
      </c>
      <c r="H103" s="71">
        <f t="shared" si="58"/>
        <v>30.152558557855457</v>
      </c>
      <c r="I103" s="71">
        <f t="shared" si="59"/>
        <v>40.560809004261195</v>
      </c>
      <c r="J103" s="71">
        <f t="shared" si="60"/>
        <v>30.152558557855457</v>
      </c>
      <c r="K103" s="71">
        <f t="shared" si="61"/>
        <v>39.65948330059791</v>
      </c>
      <c r="L103" s="71">
        <f t="shared" si="62"/>
        <v>1.8969995425433148</v>
      </c>
      <c r="M103" s="71">
        <f t="shared" si="63"/>
        <v>3.3670866011551928</v>
      </c>
      <c r="N103" s="71">
        <f t="shared" si="64"/>
        <v>0.4027548795434824</v>
      </c>
      <c r="O103" s="71">
        <f t="shared" si="65"/>
        <v>49.154770538475454</v>
      </c>
      <c r="P103" s="71">
        <f t="shared" si="66"/>
        <v>0.1317247923642876</v>
      </c>
    </row>
    <row r="104" spans="2:16" s="69" customFormat="1" ht="13.5">
      <c r="B104" s="71">
        <f t="shared" si="67"/>
        <v>34.63446506783428</v>
      </c>
      <c r="C104" s="69">
        <f t="shared" si="41"/>
        <v>42.001000000000005</v>
      </c>
      <c r="D104" s="69">
        <f t="shared" si="40"/>
        <v>76</v>
      </c>
      <c r="E104" s="71">
        <f t="shared" si="55"/>
        <v>0.7330557391301384</v>
      </c>
      <c r="F104" s="71">
        <f t="shared" si="56"/>
        <v>1.3264502315156903</v>
      </c>
      <c r="G104" s="71">
        <f t="shared" si="57"/>
        <v>168.11306876242946</v>
      </c>
      <c r="H104" s="71">
        <f t="shared" si="58"/>
        <v>28.2614098159386</v>
      </c>
      <c r="I104" s="71">
        <f t="shared" si="59"/>
        <v>37.7420264303865</v>
      </c>
      <c r="J104" s="71">
        <f t="shared" si="60"/>
        <v>28.2614098159386</v>
      </c>
      <c r="K104" s="71">
        <f t="shared" si="61"/>
        <v>38.55385016881386</v>
      </c>
      <c r="L104" s="71">
        <f t="shared" si="62"/>
        <v>1.914452835063258</v>
      </c>
      <c r="M104" s="71">
        <f t="shared" si="63"/>
        <v>3.3876027589624966</v>
      </c>
      <c r="N104" s="71">
        <f t="shared" si="64"/>
        <v>0.34644986482172163</v>
      </c>
      <c r="O104" s="71">
        <f t="shared" si="65"/>
        <v>48.14757233164222</v>
      </c>
      <c r="P104" s="71">
        <f t="shared" si="66"/>
        <v>0.14859441536331908</v>
      </c>
    </row>
    <row r="105" spans="2:16" s="69" customFormat="1" ht="13.5">
      <c r="B105" s="71">
        <f t="shared" si="67"/>
        <v>34.4985762661617</v>
      </c>
      <c r="C105" s="69">
        <f t="shared" si="41"/>
        <v>42.001000000000005</v>
      </c>
      <c r="D105" s="69">
        <f t="shared" si="40"/>
        <v>77</v>
      </c>
      <c r="E105" s="71">
        <f t="shared" si="55"/>
        <v>0.7330557391301384</v>
      </c>
      <c r="F105" s="71">
        <f t="shared" si="56"/>
        <v>1.3439035240356338</v>
      </c>
      <c r="G105" s="71">
        <f t="shared" si="57"/>
        <v>168.11306876242946</v>
      </c>
      <c r="H105" s="71">
        <f t="shared" si="58"/>
        <v>26.34648681054474</v>
      </c>
      <c r="I105" s="71">
        <f t="shared" si="59"/>
        <v>34.9476724316321</v>
      </c>
      <c r="J105" s="71">
        <f t="shared" si="60"/>
        <v>26.34648681054474</v>
      </c>
      <c r="K105" s="71">
        <f t="shared" si="61"/>
        <v>37.4577988480803</v>
      </c>
      <c r="L105" s="71">
        <f t="shared" si="62"/>
        <v>1.9319061275832015</v>
      </c>
      <c r="M105" s="71">
        <f t="shared" si="63"/>
        <v>3.409415373203253</v>
      </c>
      <c r="N105" s="71">
        <f t="shared" si="64"/>
        <v>0.2894370209242849</v>
      </c>
      <c r="O105" s="71">
        <f t="shared" si="65"/>
        <v>47.17085069752713</v>
      </c>
      <c r="P105" s="71">
        <f t="shared" si="66"/>
        <v>0.1672404391181953</v>
      </c>
    </row>
    <row r="106" spans="2:16" s="69" customFormat="1" ht="13.5">
      <c r="B106" s="71">
        <f t="shared" si="67"/>
        <v>34.35002897504531</v>
      </c>
      <c r="C106" s="69">
        <f t="shared" si="41"/>
        <v>42.001000000000005</v>
      </c>
      <c r="D106" s="69">
        <f t="shared" si="40"/>
        <v>78</v>
      </c>
      <c r="E106" s="71">
        <f t="shared" si="55"/>
        <v>0.7330557391301384</v>
      </c>
      <c r="F106" s="71">
        <f t="shared" si="56"/>
        <v>1.361356816555577</v>
      </c>
      <c r="G106" s="71">
        <f t="shared" si="57"/>
        <v>168.11306876242946</v>
      </c>
      <c r="H106" s="71">
        <f t="shared" si="58"/>
        <v>24.40614891650218</v>
      </c>
      <c r="I106" s="71">
        <f t="shared" si="59"/>
        <v>32.17574952279962</v>
      </c>
      <c r="J106" s="71">
        <f t="shared" si="60"/>
        <v>24.40614891650218</v>
      </c>
      <c r="K106" s="71">
        <f t="shared" si="61"/>
        <v>36.370545849157565</v>
      </c>
      <c r="L106" s="71">
        <f t="shared" si="62"/>
        <v>1.9493594201031446</v>
      </c>
      <c r="M106" s="71">
        <f t="shared" si="63"/>
        <v>3.4325630767730444</v>
      </c>
      <c r="N106" s="71">
        <f t="shared" si="64"/>
        <v>0.23166750165393885</v>
      </c>
      <c r="O106" s="71">
        <f t="shared" si="65"/>
        <v>46.222523251748335</v>
      </c>
      <c r="P106" s="71">
        <f t="shared" si="66"/>
        <v>0.1876565944745497</v>
      </c>
    </row>
    <row r="107" spans="2:16" s="69" customFormat="1" ht="13.5">
      <c r="B107" s="71">
        <f t="shared" si="67"/>
        <v>34.188804221651104</v>
      </c>
      <c r="C107" s="69">
        <f t="shared" si="41"/>
        <v>42.001000000000005</v>
      </c>
      <c r="D107" s="69">
        <f t="shared" si="40"/>
        <v>79</v>
      </c>
      <c r="E107" s="71">
        <f t="shared" si="55"/>
        <v>0.7330557391301384</v>
      </c>
      <c r="F107" s="71">
        <f t="shared" si="56"/>
        <v>1.3788101090755203</v>
      </c>
      <c r="G107" s="71">
        <f t="shared" si="57"/>
        <v>168.11306876242946</v>
      </c>
      <c r="H107" s="71">
        <f t="shared" si="58"/>
        <v>22.438680258289008</v>
      </c>
      <c r="I107" s="71">
        <f t="shared" si="59"/>
        <v>29.424319295722153</v>
      </c>
      <c r="J107" s="71">
        <f t="shared" si="60"/>
        <v>22.438680258289008</v>
      </c>
      <c r="K107" s="71">
        <f t="shared" si="61"/>
        <v>35.29133085505204</v>
      </c>
      <c r="L107" s="71">
        <f t="shared" si="62"/>
        <v>1.9668127126230877</v>
      </c>
      <c r="M107" s="71">
        <f t="shared" si="63"/>
        <v>3.4570875053272205</v>
      </c>
      <c r="N107" s="71">
        <f t="shared" si="64"/>
        <v>0.17309022039101127</v>
      </c>
      <c r="O107" s="71">
        <f t="shared" si="65"/>
        <v>45.3006098207464</v>
      </c>
      <c r="P107" s="71">
        <f t="shared" si="66"/>
        <v>0.20983516095093296</v>
      </c>
    </row>
    <row r="108" spans="2:16" s="69" customFormat="1" ht="13.5">
      <c r="B108" s="71">
        <f t="shared" si="67"/>
        <v>34.01484077553899</v>
      </c>
      <c r="C108" s="69">
        <f t="shared" si="41"/>
        <v>42.001000000000005</v>
      </c>
      <c r="D108" s="69">
        <f t="shared" si="40"/>
        <v>80</v>
      </c>
      <c r="E108" s="71">
        <f t="shared" si="55"/>
        <v>0.7330557391301384</v>
      </c>
      <c r="F108" s="71">
        <f t="shared" si="56"/>
        <v>1.3962634015954636</v>
      </c>
      <c r="G108" s="71">
        <f t="shared" si="57"/>
        <v>168.11306876242946</v>
      </c>
      <c r="H108" s="71">
        <f t="shared" si="58"/>
        <v>20.442283082501756</v>
      </c>
      <c r="I108" s="71">
        <f t="shared" si="59"/>
        <v>26.691496704743898</v>
      </c>
      <c r="J108" s="71">
        <f t="shared" si="60"/>
        <v>20.442283082501756</v>
      </c>
      <c r="K108" s="71">
        <f t="shared" si="61"/>
        <v>34.21941447956511</v>
      </c>
      <c r="L108" s="71">
        <f t="shared" si="62"/>
        <v>1.9842660051430312</v>
      </c>
      <c r="M108" s="71">
        <f t="shared" si="63"/>
        <v>3.483033492591896</v>
      </c>
      <c r="N108" s="71">
        <f t="shared" si="64"/>
        <v>0.1136516527724497</v>
      </c>
      <c r="O108" s="71">
        <f t="shared" si="65"/>
        <v>44.40322109386542</v>
      </c>
      <c r="P108" s="71">
        <f t="shared" si="66"/>
        <v>0.23376503900198256</v>
      </c>
    </row>
    <row r="109" spans="2:16" s="69" customFormat="1" ht="13.5">
      <c r="B109" s="71">
        <f t="shared" si="67"/>
        <v>33.82803534100982</v>
      </c>
      <c r="C109" s="69">
        <f t="shared" si="41"/>
        <v>42.001000000000005</v>
      </c>
      <c r="D109" s="69">
        <f t="shared" si="40"/>
        <v>81</v>
      </c>
      <c r="E109" s="71">
        <f t="shared" si="55"/>
        <v>0.7330557391301384</v>
      </c>
      <c r="F109" s="71">
        <f t="shared" si="56"/>
        <v>1.413716694115407</v>
      </c>
      <c r="G109" s="71">
        <f t="shared" si="57"/>
        <v>168.11306876242946</v>
      </c>
      <c r="H109" s="71">
        <f t="shared" si="58"/>
        <v>18.415070572518374</v>
      </c>
      <c r="I109" s="71">
        <f t="shared" si="59"/>
        <v>23.97544465412669</v>
      </c>
      <c r="J109" s="71">
        <f t="shared" si="60"/>
        <v>18.415070572518374</v>
      </c>
      <c r="K109" s="71">
        <f t="shared" si="61"/>
        <v>33.15407614426935</v>
      </c>
      <c r="L109" s="71">
        <f t="shared" si="62"/>
        <v>2.0017192976629743</v>
      </c>
      <c r="M109" s="71">
        <f t="shared" si="63"/>
        <v>3.510449285294637</v>
      </c>
      <c r="N109" s="71">
        <f t="shared" si="64"/>
        <v>0.053295622763378</v>
      </c>
      <c r="O109" s="71">
        <f t="shared" si="65"/>
        <v>43.52854807041652</v>
      </c>
      <c r="P109" s="71">
        <f t="shared" si="66"/>
        <v>0.2594297126548592</v>
      </c>
    </row>
    <row r="110" spans="2:16" s="69" customFormat="1" ht="13.5">
      <c r="B110" s="71">
        <f t="shared" si="67"/>
        <v>34.52502467953945</v>
      </c>
      <c r="C110" s="69">
        <f t="shared" si="41"/>
        <v>42.001000000000005</v>
      </c>
      <c r="D110" s="69">
        <f t="shared" si="40"/>
        <v>82</v>
      </c>
      <c r="E110" s="71">
        <f t="shared" si="55"/>
        <v>0.7330557391301384</v>
      </c>
      <c r="F110" s="71">
        <f t="shared" si="56"/>
        <v>1.43116998663535</v>
      </c>
      <c r="G110" s="71">
        <f t="shared" si="57"/>
        <v>168.11306876242946</v>
      </c>
      <c r="H110" s="71">
        <f t="shared" si="58"/>
        <v>21.274368853074545</v>
      </c>
      <c r="I110" s="71">
        <f t="shared" si="59"/>
        <v>21.274368853074545</v>
      </c>
      <c r="J110" s="71">
        <f t="shared" si="60"/>
        <v>16.355059041525283</v>
      </c>
      <c r="K110" s="71">
        <f t="shared" si="61"/>
        <v>32.09461206045451</v>
      </c>
      <c r="L110" s="71">
        <f t="shared" si="62"/>
        <v>2.0191725901829174</v>
      </c>
      <c r="M110" s="71">
        <f t="shared" si="63"/>
        <v>3.539386779747792</v>
      </c>
      <c r="N110" s="71">
        <f t="shared" si="64"/>
        <v>-0.008036929779261789</v>
      </c>
      <c r="O110" s="71">
        <f t="shared" si="65"/>
        <v>43.812885194165894</v>
      </c>
      <c r="P110" s="71">
        <f t="shared" si="66"/>
        <v>0.1636086031706551</v>
      </c>
    </row>
    <row r="111" spans="2:16" s="69" customFormat="1" ht="13.5">
      <c r="B111" s="71">
        <f t="shared" si="67"/>
        <v>34.20796857827751</v>
      </c>
      <c r="C111" s="69">
        <f t="shared" si="41"/>
        <v>42.001000000000005</v>
      </c>
      <c r="D111" s="69">
        <f t="shared" si="40"/>
        <v>83</v>
      </c>
      <c r="E111" s="71">
        <f t="shared" si="55"/>
        <v>0.7330557391301384</v>
      </c>
      <c r="F111" s="71">
        <f t="shared" si="56"/>
        <v>1.4486232791552935</v>
      </c>
      <c r="G111" s="71">
        <f t="shared" si="57"/>
        <v>168.11306876242946</v>
      </c>
      <c r="H111" s="71">
        <f t="shared" si="58"/>
        <v>18.586512906677186</v>
      </c>
      <c r="I111" s="71">
        <f t="shared" si="59"/>
        <v>18.586512906677186</v>
      </c>
      <c r="J111" s="71">
        <f t="shared" si="60"/>
        <v>14.26015943222883</v>
      </c>
      <c r="K111" s="71">
        <f t="shared" si="61"/>
        <v>31.040333303609955</v>
      </c>
      <c r="L111" s="71">
        <f t="shared" si="62"/>
        <v>2.036625882702861</v>
      </c>
      <c r="M111" s="71">
        <f t="shared" si="63"/>
        <v>3.569901782381449</v>
      </c>
      <c r="N111" s="71">
        <f t="shared" si="64"/>
        <v>-0.0704082021850964</v>
      </c>
      <c r="O111" s="71">
        <f t="shared" si="65"/>
        <v>42.833017249948995</v>
      </c>
      <c r="P111" s="71">
        <f t="shared" si="66"/>
        <v>0.20719844713921848</v>
      </c>
    </row>
    <row r="112" spans="2:16" s="69" customFormat="1" ht="13.5">
      <c r="B112" s="71">
        <f t="shared" si="67"/>
        <v>33.88529788064935</v>
      </c>
      <c r="C112" s="69">
        <f t="shared" si="41"/>
        <v>42.001000000000005</v>
      </c>
      <c r="D112" s="69">
        <f t="shared" si="40"/>
        <v>84</v>
      </c>
      <c r="E112" s="71">
        <f t="shared" si="55"/>
        <v>0.7330557391301384</v>
      </c>
      <c r="F112" s="71">
        <f t="shared" si="56"/>
        <v>1.4660765716752369</v>
      </c>
      <c r="G112" s="71">
        <f t="shared" si="57"/>
        <v>168.11306876242946</v>
      </c>
      <c r="H112" s="71">
        <f t="shared" si="58"/>
        <v>15.910153613341771</v>
      </c>
      <c r="I112" s="71">
        <f t="shared" si="59"/>
        <v>15.910153613341771</v>
      </c>
      <c r="J112" s="71">
        <f t="shared" si="60"/>
        <v>12.128168042573405</v>
      </c>
      <c r="K112" s="71">
        <f t="shared" si="61"/>
        <v>29.990563968899536</v>
      </c>
      <c r="L112" s="71">
        <f t="shared" si="62"/>
        <v>2.0540791752228045</v>
      </c>
      <c r="M112" s="71">
        <f t="shared" si="63"/>
        <v>3.602054296824678</v>
      </c>
      <c r="N112" s="71">
        <f t="shared" si="64"/>
        <v>-0.1338838050927462</v>
      </c>
      <c r="O112" s="71">
        <f t="shared" si="65"/>
        <v>41.884531618312145</v>
      </c>
      <c r="P112" s="71">
        <f t="shared" si="66"/>
        <v>0.2515680071267126</v>
      </c>
    </row>
    <row r="113" spans="2:16" s="69" customFormat="1" ht="13.5">
      <c r="B113" s="71">
        <f t="shared" si="67"/>
        <v>33.55701406350214</v>
      </c>
      <c r="C113" s="69">
        <f t="shared" si="41"/>
        <v>42.001000000000005</v>
      </c>
      <c r="D113" s="69">
        <f t="shared" si="40"/>
        <v>85</v>
      </c>
      <c r="E113" s="71">
        <f t="shared" si="55"/>
        <v>0.7330557391301384</v>
      </c>
      <c r="F113" s="71">
        <f t="shared" si="56"/>
        <v>1.4835298641951802</v>
      </c>
      <c r="G113" s="71">
        <f t="shared" si="57"/>
        <v>168.11306876242946</v>
      </c>
      <c r="H113" s="71">
        <f t="shared" si="58"/>
        <v>13.24359644123674</v>
      </c>
      <c r="I113" s="71">
        <f t="shared" si="59"/>
        <v>13.24359644123674</v>
      </c>
      <c r="J113" s="71">
        <f t="shared" si="60"/>
        <v>9.956756386451493</v>
      </c>
      <c r="K113" s="71">
        <f t="shared" si="61"/>
        <v>28.944639396851734</v>
      </c>
      <c r="L113" s="71">
        <f t="shared" si="62"/>
        <v>2.0715324677427476</v>
      </c>
      <c r="M113" s="71">
        <f t="shared" si="63"/>
        <v>3.6359088404790922</v>
      </c>
      <c r="N113" s="71">
        <f t="shared" si="64"/>
        <v>-0.1985330643260647</v>
      </c>
      <c r="O113" s="71">
        <f t="shared" si="65"/>
        <v>40.96555004343422</v>
      </c>
      <c r="P113" s="71">
        <f t="shared" si="66"/>
        <v>0.29653887776964033</v>
      </c>
    </row>
    <row r="114" spans="2:16" s="69" customFormat="1" ht="13.5">
      <c r="B114" s="71">
        <f t="shared" si="67"/>
        <v>33.223098580725356</v>
      </c>
      <c r="C114" s="69">
        <f t="shared" si="41"/>
        <v>42.001000000000005</v>
      </c>
      <c r="D114" s="69">
        <f t="shared" si="40"/>
        <v>86</v>
      </c>
      <c r="E114" s="71">
        <f t="shared" si="55"/>
        <v>0.7330557391301384</v>
      </c>
      <c r="F114" s="71">
        <f t="shared" si="56"/>
        <v>1.5009831567151233</v>
      </c>
      <c r="G114" s="71">
        <f t="shared" si="57"/>
        <v>168.11306876242946</v>
      </c>
      <c r="H114" s="71">
        <f t="shared" si="58"/>
        <v>10.585171157948913</v>
      </c>
      <c r="I114" s="71">
        <f t="shared" si="59"/>
        <v>10.585171157948913</v>
      </c>
      <c r="J114" s="71">
        <f t="shared" si="60"/>
        <v>7.743460086500027</v>
      </c>
      <c r="K114" s="71">
        <f t="shared" si="61"/>
        <v>27.90190445914594</v>
      </c>
      <c r="L114" s="71">
        <f t="shared" si="62"/>
        <v>2.0889857602626907</v>
      </c>
      <c r="M114" s="71">
        <f t="shared" si="63"/>
        <v>3.6715347939252476</v>
      </c>
      <c r="N114" s="71">
        <f t="shared" si="64"/>
        <v>-0.26442935158799213</v>
      </c>
      <c r="O114" s="71">
        <f t="shared" si="65"/>
        <v>40.074297812985556</v>
      </c>
      <c r="P114" s="71">
        <f t="shared" si="66"/>
        <v>0.341921004044497</v>
      </c>
    </row>
    <row r="115" spans="2:16" s="69" customFormat="1" ht="13.5">
      <c r="B115" s="71">
        <f t="shared" si="67"/>
        <v>32.883513708976</v>
      </c>
      <c r="C115" s="69">
        <f t="shared" si="41"/>
        <v>42.001000000000005</v>
      </c>
      <c r="D115" s="69">
        <f t="shared" si="40"/>
        <v>87</v>
      </c>
      <c r="E115" s="71">
        <f t="shared" si="55"/>
        <v>0.7330557391301384</v>
      </c>
      <c r="F115" s="71">
        <f t="shared" si="56"/>
        <v>1.5184364492350666</v>
      </c>
      <c r="G115" s="71">
        <f t="shared" si="57"/>
        <v>168.11306876242946</v>
      </c>
      <c r="H115" s="71">
        <f t="shared" si="58"/>
        <v>7.933227588970383</v>
      </c>
      <c r="I115" s="71">
        <f t="shared" si="59"/>
        <v>7.933227588970383</v>
      </c>
      <c r="J115" s="71">
        <f t="shared" si="60"/>
        <v>5.4856666823648865</v>
      </c>
      <c r="K115" s="71">
        <f t="shared" si="61"/>
        <v>26.861711894930572</v>
      </c>
      <c r="L115" s="71">
        <f t="shared" si="62"/>
        <v>2.106439052782634</v>
      </c>
      <c r="M115" s="71">
        <f t="shared" si="63"/>
        <v>3.7090067869585464</v>
      </c>
      <c r="N115" s="71">
        <f t="shared" si="64"/>
        <v>-0.3316504474440855</v>
      </c>
      <c r="O115" s="71">
        <f t="shared" si="65"/>
        <v>39.20909468605064</v>
      </c>
      <c r="P115" s="71">
        <f t="shared" si="66"/>
        <v>0.3875168606895775</v>
      </c>
    </row>
    <row r="116" spans="2:16" s="69" customFormat="1" ht="13.5">
      <c r="B116" s="71">
        <f t="shared" si="67"/>
        <v>32.53820324659596</v>
      </c>
      <c r="C116" s="69">
        <f t="shared" si="41"/>
        <v>42.001000000000005</v>
      </c>
      <c r="D116" s="69">
        <f t="shared" si="40"/>
        <v>88</v>
      </c>
      <c r="E116" s="71">
        <f t="shared" si="55"/>
        <v>0.7330557391301384</v>
      </c>
      <c r="F116" s="71">
        <f t="shared" si="56"/>
        <v>1.53588974175501</v>
      </c>
      <c r="G116" s="71">
        <f t="shared" si="57"/>
        <v>168.11306876242946</v>
      </c>
      <c r="H116" s="71">
        <f t="shared" si="58"/>
        <v>5.286131481813329</v>
      </c>
      <c r="I116" s="71">
        <f t="shared" si="59"/>
        <v>5.286131481813329</v>
      </c>
      <c r="J116" s="71">
        <f t="shared" si="60"/>
        <v>3.180602221976846</v>
      </c>
      <c r="K116" s="71">
        <f t="shared" si="61"/>
        <v>25.823420688572526</v>
      </c>
      <c r="L116" s="71">
        <f t="shared" si="62"/>
        <v>2.1238923453025773</v>
      </c>
      <c r="M116" s="71">
        <f t="shared" si="63"/>
        <v>3.7484051255774977</v>
      </c>
      <c r="N116" s="71">
        <f t="shared" si="64"/>
        <v>-0.4002789405393484</v>
      </c>
      <c r="O116" s="71">
        <f t="shared" si="65"/>
        <v>38.36834655259241</v>
      </c>
      <c r="P116" s="71">
        <f t="shared" si="66"/>
        <v>0.4331261245760633</v>
      </c>
    </row>
    <row r="117" spans="2:16" s="69" customFormat="1" ht="13.5">
      <c r="B117" s="71">
        <f t="shared" si="67"/>
        <v>32.1870930769983</v>
      </c>
      <c r="C117" s="69">
        <f t="shared" si="41"/>
        <v>42.001000000000005</v>
      </c>
      <c r="D117" s="69">
        <f t="shared" si="40"/>
        <v>89</v>
      </c>
      <c r="E117" s="71">
        <f t="shared" si="55"/>
        <v>0.7330557391301384</v>
      </c>
      <c r="F117" s="71">
        <f t="shared" si="56"/>
        <v>1.5533430342749535</v>
      </c>
      <c r="G117" s="71">
        <f t="shared" si="57"/>
        <v>168.11306876242946</v>
      </c>
      <c r="H117" s="71">
        <f t="shared" si="58"/>
        <v>2.642260453508916</v>
      </c>
      <c r="I117" s="71">
        <f t="shared" si="59"/>
        <v>2.642260453508916</v>
      </c>
      <c r="J117" s="71">
        <f t="shared" si="60"/>
        <v>0.8253164850416557</v>
      </c>
      <c r="K117" s="71">
        <f t="shared" si="61"/>
        <v>24.78639448011291</v>
      </c>
      <c r="L117" s="71">
        <f t="shared" si="62"/>
        <v>2.141345637822521</v>
      </c>
      <c r="M117" s="71">
        <f t="shared" si="63"/>
        <v>3.7898162648555984</v>
      </c>
      <c r="N117" s="71">
        <f t="shared" si="64"/>
        <v>-0.47040266753803595</v>
      </c>
      <c r="O117" s="71">
        <f t="shared" si="65"/>
        <v>37.55053774290457</v>
      </c>
      <c r="P117" s="71">
        <f t="shared" si="66"/>
        <v>0.47855055522159606</v>
      </c>
    </row>
    <row r="118" spans="2:16" s="69" customFormat="1" ht="13.5">
      <c r="B118" s="71">
        <f t="shared" si="67"/>
        <v>31.830091606024563</v>
      </c>
      <c r="C118" s="69">
        <f t="shared" si="41"/>
        <v>42.001000000000005</v>
      </c>
      <c r="D118" s="69">
        <f t="shared" si="40"/>
        <v>90</v>
      </c>
      <c r="E118" s="71">
        <f t="shared" si="55"/>
        <v>0.7330557391301384</v>
      </c>
      <c r="F118" s="71">
        <f t="shared" si="56"/>
        <v>1.5707963267948966</v>
      </c>
      <c r="G118" s="71">
        <f t="shared" si="57"/>
        <v>168.11306876242946</v>
      </c>
      <c r="H118" s="71">
        <f t="shared" si="58"/>
        <v>9.272842368089618E-15</v>
      </c>
      <c r="I118" s="71">
        <f t="shared" si="59"/>
        <v>9.272842368089618E-15</v>
      </c>
      <c r="J118" s="71">
        <f t="shared" si="60"/>
        <v>-1.5833333333333073</v>
      </c>
      <c r="K118" s="71">
        <f t="shared" si="61"/>
        <v>23.750000000000007</v>
      </c>
      <c r="L118" s="71">
        <f t="shared" si="62"/>
        <v>2.158798930342464</v>
      </c>
      <c r="M118" s="71">
        <f t="shared" si="63"/>
        <v>3.8333333333333317</v>
      </c>
      <c r="N118" s="71">
        <f t="shared" si="64"/>
        <v>-0.5421151989096857</v>
      </c>
      <c r="O118" s="71">
        <f t="shared" si="65"/>
        <v>36.754223914137455</v>
      </c>
      <c r="P118" s="71">
        <f t="shared" si="66"/>
        <v>0.5235987755982985</v>
      </c>
    </row>
    <row r="119" spans="2:16" s="69" customFormat="1" ht="13.5">
      <c r="B119" s="71">
        <f t="shared" si="67"/>
        <v>40.10917659479614</v>
      </c>
      <c r="C119" s="69">
        <f>C118+J21</f>
        <v>48.001000000000005</v>
      </c>
      <c r="D119" s="69">
        <f t="shared" si="40"/>
        <v>60</v>
      </c>
      <c r="E119" s="71">
        <f t="shared" si="55"/>
        <v>0.8377754942497982</v>
      </c>
      <c r="F119" s="71">
        <f t="shared" si="56"/>
        <v>1.0471975511965976</v>
      </c>
      <c r="G119" s="71">
        <f t="shared" si="57"/>
        <v>136.29387835306372</v>
      </c>
      <c r="H119" s="71">
        <f t="shared" si="58"/>
        <v>56.61327536344993</v>
      </c>
      <c r="I119" s="71">
        <f t="shared" si="59"/>
        <v>87.39639699857963</v>
      </c>
      <c r="J119" s="71">
        <f t="shared" si="60"/>
        <v>56.61327536344993</v>
      </c>
      <c r="K119" s="71">
        <f t="shared" si="61"/>
        <v>58.03017223313404</v>
      </c>
      <c r="L119" s="71">
        <f t="shared" si="62"/>
        <v>1.6352001547441652</v>
      </c>
      <c r="M119" s="71">
        <f t="shared" si="63"/>
        <v>3.196152422706631</v>
      </c>
      <c r="N119" s="71">
        <f t="shared" si="64"/>
        <v>1.1905676074715958</v>
      </c>
      <c r="O119" s="71">
        <f t="shared" si="65"/>
        <v>80.21835318959229</v>
      </c>
      <c r="P119" s="71">
        <f t="shared" si="66"/>
        <v>0.31022121508428485</v>
      </c>
    </row>
    <row r="120" spans="2:16" s="69" customFormat="1" ht="13.5">
      <c r="B120" s="71">
        <f t="shared" si="67"/>
        <v>40.32479078579986</v>
      </c>
      <c r="C120" s="69">
        <f>C119</f>
        <v>48.001000000000005</v>
      </c>
      <c r="D120" s="69">
        <f t="shared" si="40"/>
        <v>61</v>
      </c>
      <c r="E120" s="71">
        <f t="shared" si="55"/>
        <v>0.8377754942497982</v>
      </c>
      <c r="F120" s="71">
        <f t="shared" si="56"/>
        <v>1.064650843716541</v>
      </c>
      <c r="G120" s="71">
        <f t="shared" si="57"/>
        <v>136.29387835306372</v>
      </c>
      <c r="H120" s="71">
        <f t="shared" si="58"/>
        <v>54.91741842603781</v>
      </c>
      <c r="I120" s="71">
        <f t="shared" si="59"/>
        <v>83.90853266366291</v>
      </c>
      <c r="J120" s="71">
        <f t="shared" si="60"/>
        <v>54.91741842603781</v>
      </c>
      <c r="K120" s="71">
        <f t="shared" si="61"/>
        <v>56.662099930008154</v>
      </c>
      <c r="L120" s="71">
        <f t="shared" si="62"/>
        <v>1.6526534472641083</v>
      </c>
      <c r="M120" s="71">
        <f t="shared" si="63"/>
        <v>3.200241894286732</v>
      </c>
      <c r="N120" s="71">
        <f t="shared" si="64"/>
        <v>1.1400769994561701</v>
      </c>
      <c r="O120" s="71">
        <f t="shared" si="65"/>
        <v>78.29477615386426</v>
      </c>
      <c r="P120" s="71">
        <f t="shared" si="66"/>
        <v>0.2936591439369239</v>
      </c>
    </row>
    <row r="121" spans="2:16" s="69" customFormat="1" ht="13.5">
      <c r="B121" s="71">
        <f t="shared" si="67"/>
        <v>40.51245150879398</v>
      </c>
      <c r="C121" s="69">
        <f aca="true" t="shared" si="68" ref="C121:C149">C120</f>
        <v>48.001000000000005</v>
      </c>
      <c r="D121" s="69">
        <f>D90</f>
        <v>62</v>
      </c>
      <c r="E121" s="71">
        <f t="shared" si="55"/>
        <v>0.8377754942497982</v>
      </c>
      <c r="F121" s="71">
        <f t="shared" si="56"/>
        <v>1.0821041362364843</v>
      </c>
      <c r="G121" s="71">
        <f t="shared" si="57"/>
        <v>136.29387835306372</v>
      </c>
      <c r="H121" s="71">
        <f t="shared" si="58"/>
        <v>53.21669751699319</v>
      </c>
      <c r="I121" s="71">
        <f t="shared" si="59"/>
        <v>80.48751521775635</v>
      </c>
      <c r="J121" s="71">
        <f t="shared" si="60"/>
        <v>53.21669751699319</v>
      </c>
      <c r="K121" s="71">
        <f t="shared" si="61"/>
        <v>55.3202475049003</v>
      </c>
      <c r="L121" s="71">
        <f t="shared" si="62"/>
        <v>1.6701067397840519</v>
      </c>
      <c r="M121" s="71">
        <f t="shared" si="63"/>
        <v>3.205319466443784</v>
      </c>
      <c r="N121" s="71">
        <f t="shared" si="64"/>
        <v>1.0894415768165406</v>
      </c>
      <c r="O121" s="71">
        <f t="shared" si="65"/>
        <v>76.45023354154834</v>
      </c>
      <c r="P121" s="71">
        <f t="shared" si="66"/>
        <v>0.2792531125998883</v>
      </c>
    </row>
    <row r="122" spans="2:16" s="69" customFormat="1" ht="13.5">
      <c r="B122" s="71">
        <f t="shared" si="67"/>
        <v>40.67339248646698</v>
      </c>
      <c r="C122" s="69">
        <f t="shared" si="68"/>
        <v>48.001000000000005</v>
      </c>
      <c r="D122" s="69">
        <f t="shared" si="40"/>
        <v>63</v>
      </c>
      <c r="E122" s="71">
        <f t="shared" si="55"/>
        <v>0.8377754942497982</v>
      </c>
      <c r="F122" s="71">
        <f t="shared" si="56"/>
        <v>1.0995574287564276</v>
      </c>
      <c r="G122" s="71">
        <f t="shared" si="57"/>
        <v>136.29387835306372</v>
      </c>
      <c r="H122" s="71">
        <f t="shared" si="58"/>
        <v>51.51005054407396</v>
      </c>
      <c r="I122" s="71">
        <f t="shared" si="59"/>
        <v>77.12941491721917</v>
      </c>
      <c r="J122" s="71">
        <f t="shared" si="60"/>
        <v>51.51005054407396</v>
      </c>
      <c r="K122" s="71">
        <f t="shared" si="61"/>
        <v>54.00307356373172</v>
      </c>
      <c r="L122" s="71">
        <f t="shared" si="62"/>
        <v>1.687560032303995</v>
      </c>
      <c r="M122" s="71">
        <f t="shared" si="63"/>
        <v>3.2113929525108333</v>
      </c>
      <c r="N122" s="71">
        <f t="shared" si="64"/>
        <v>1.0386297179684278</v>
      </c>
      <c r="O122" s="71">
        <f t="shared" si="65"/>
        <v>74.6795397897706</v>
      </c>
      <c r="P122" s="71">
        <f t="shared" si="66"/>
        <v>0.26690957332058307</v>
      </c>
    </row>
    <row r="123" spans="2:16" s="69" customFormat="1" ht="13.5">
      <c r="B123" s="71">
        <f t="shared" si="67"/>
        <v>40.80871918408501</v>
      </c>
      <c r="C123" s="69">
        <f t="shared" si="68"/>
        <v>48.001000000000005</v>
      </c>
      <c r="D123" s="69">
        <f t="shared" si="40"/>
        <v>64</v>
      </c>
      <c r="E123" s="71">
        <f t="shared" si="55"/>
        <v>0.8377754942497982</v>
      </c>
      <c r="F123" s="71">
        <f t="shared" si="56"/>
        <v>1.117010721276371</v>
      </c>
      <c r="G123" s="71">
        <f t="shared" si="57"/>
        <v>136.29387835306372</v>
      </c>
      <c r="H123" s="71">
        <f t="shared" si="58"/>
        <v>49.7964007486329</v>
      </c>
      <c r="I123" s="71">
        <f aca="true" t="shared" si="69" ref="I123:I166">(0.5*$D$3*$D$9+$D$6)*$D$9/TAN(F123)</f>
        <v>73.83052059415728</v>
      </c>
      <c r="J123" s="71">
        <f t="shared" si="60"/>
        <v>49.7964007486329</v>
      </c>
      <c r="K123" s="71">
        <f aca="true" t="shared" si="70" ref="K123:K166">0.5*$D$3*$D$8^2*(1/TAN(F123)-1/TAN($D$16))+$G$19</f>
        <v>52.70912244609802</v>
      </c>
      <c r="L123" s="71">
        <f t="shared" si="62"/>
        <v>1.7050133248239385</v>
      </c>
      <c r="M123" s="71">
        <f t="shared" si="63"/>
        <v>3.21847173736185</v>
      </c>
      <c r="N123" s="71">
        <f t="shared" si="64"/>
        <v>0.9876093646658881</v>
      </c>
      <c r="O123" s="71">
        <f t="shared" si="65"/>
        <v>72.97789176292692</v>
      </c>
      <c r="P123" s="71">
        <f t="shared" si="66"/>
        <v>0.2565415376850608</v>
      </c>
    </row>
    <row r="124" spans="2:16" s="69" customFormat="1" ht="13.5">
      <c r="B124" s="71">
        <f t="shared" si="67"/>
        <v>40.91941943948955</v>
      </c>
      <c r="C124" s="69">
        <f t="shared" si="68"/>
        <v>48.001000000000005</v>
      </c>
      <c r="D124" s="69">
        <f t="shared" si="40"/>
        <v>65</v>
      </c>
      <c r="E124" s="71">
        <f t="shared" si="55"/>
        <v>0.8377754942497982</v>
      </c>
      <c r="F124" s="71">
        <f t="shared" si="56"/>
        <v>1.1344640137963142</v>
      </c>
      <c r="G124" s="71">
        <f t="shared" si="57"/>
        <v>136.29387835306372</v>
      </c>
      <c r="H124" s="71">
        <f t="shared" si="58"/>
        <v>48.07465394252364</v>
      </c>
      <c r="I124" s="71">
        <f t="shared" si="69"/>
        <v>70.58732175321292</v>
      </c>
      <c r="J124" s="71">
        <f t="shared" si="60"/>
        <v>48.07465394252364</v>
      </c>
      <c r="K124" s="71">
        <f t="shared" si="70"/>
        <v>51.43701720295304</v>
      </c>
      <c r="L124" s="71">
        <f t="shared" si="62"/>
        <v>1.7224666173438816</v>
      </c>
      <c r="M124" s="71">
        <f t="shared" si="63"/>
        <v>3.2265668130425462</v>
      </c>
      <c r="N124" s="71">
        <f t="shared" si="64"/>
        <v>0.9363479397359457</v>
      </c>
      <c r="O124" s="71">
        <f t="shared" si="65"/>
        <v>71.34083070045372</v>
      </c>
      <c r="P124" s="71">
        <f t="shared" si="66"/>
        <v>0.2480693669882188</v>
      </c>
    </row>
    <row r="125" spans="2:16" s="69" customFormat="1" ht="13.5">
      <c r="B125" s="71">
        <f t="shared" si="67"/>
        <v>41.006372763820394</v>
      </c>
      <c r="C125" s="69">
        <f t="shared" si="68"/>
        <v>48.001000000000005</v>
      </c>
      <c r="D125" s="69">
        <f t="shared" si="40"/>
        <v>66</v>
      </c>
      <c r="E125" s="71">
        <f t="shared" si="55"/>
        <v>0.8377754942497982</v>
      </c>
      <c r="F125" s="71">
        <f t="shared" si="56"/>
        <v>1.1519173063162575</v>
      </c>
      <c r="G125" s="71">
        <f t="shared" si="57"/>
        <v>136.29387835306372</v>
      </c>
      <c r="H125" s="71">
        <f t="shared" si="58"/>
        <v>46.34369565210348</v>
      </c>
      <c r="I125" s="71">
        <f t="shared" si="69"/>
        <v>67.39649223857965</v>
      </c>
      <c r="J125" s="71">
        <f t="shared" si="60"/>
        <v>46.34369565210348</v>
      </c>
      <c r="K125" s="71">
        <f t="shared" si="70"/>
        <v>50.18545319019432</v>
      </c>
      <c r="L125" s="71">
        <f t="shared" si="62"/>
        <v>1.7399199098638252</v>
      </c>
      <c r="M125" s="71">
        <f t="shared" si="63"/>
        <v>3.235690820800044</v>
      </c>
      <c r="N125" s="71">
        <f t="shared" si="64"/>
        <v>0.8848122620472225</v>
      </c>
      <c r="O125" s="71">
        <f t="shared" si="65"/>
        <v>69.76420827825777</v>
      </c>
      <c r="P125" s="71">
        <f t="shared" si="66"/>
        <v>0.24142120587249652</v>
      </c>
    </row>
    <row r="126" spans="2:16" s="69" customFormat="1" ht="13.5">
      <c r="B126" s="71">
        <f t="shared" si="67"/>
        <v>41.070358471656256</v>
      </c>
      <c r="C126" s="69">
        <f t="shared" si="68"/>
        <v>48.001000000000005</v>
      </c>
      <c r="D126" s="69">
        <f t="shared" si="40"/>
        <v>67</v>
      </c>
      <c r="E126" s="71">
        <f t="shared" si="55"/>
        <v>0.8377754942497982</v>
      </c>
      <c r="F126" s="71">
        <f t="shared" si="56"/>
        <v>1.1693705988362006</v>
      </c>
      <c r="G126" s="71">
        <f t="shared" si="57"/>
        <v>136.29387835306372</v>
      </c>
      <c r="H126" s="71">
        <f t="shared" si="58"/>
        <v>44.602388153158174</v>
      </c>
      <c r="I126" s="71">
        <f t="shared" si="69"/>
        <v>64.25487530372895</v>
      </c>
      <c r="J126" s="71">
        <f t="shared" si="60"/>
        <v>44.602388153158174</v>
      </c>
      <c r="K126" s="71">
        <f t="shared" si="70"/>
        <v>48.95319221244529</v>
      </c>
      <c r="L126" s="71">
        <f t="shared" si="62"/>
        <v>1.7573732023837683</v>
      </c>
      <c r="M126" s="71">
        <f t="shared" si="63"/>
        <v>3.2458580998131934</v>
      </c>
      <c r="N126" s="71">
        <f t="shared" si="64"/>
        <v>0.8329684582310031</v>
      </c>
      <c r="O126" s="71">
        <f t="shared" si="65"/>
        <v>68.24415624679389</v>
      </c>
      <c r="P126" s="71">
        <f t="shared" si="66"/>
        <v>0.23653315041239162</v>
      </c>
    </row>
    <row r="127" spans="2:16" s="69" customFormat="1" ht="13.5">
      <c r="B127" s="71">
        <f t="shared" si="67"/>
        <v>41.112062775330116</v>
      </c>
      <c r="C127" s="69">
        <f t="shared" si="68"/>
        <v>48.001000000000005</v>
      </c>
      <c r="D127" s="69">
        <f>D96</f>
        <v>68</v>
      </c>
      <c r="E127" s="71">
        <f t="shared" si="55"/>
        <v>0.8377754942497982</v>
      </c>
      <c r="F127" s="71">
        <f t="shared" si="56"/>
        <v>1.1868238913561442</v>
      </c>
      <c r="G127" s="71">
        <f t="shared" si="57"/>
        <v>136.29387835306372</v>
      </c>
      <c r="H127" s="71">
        <f t="shared" si="58"/>
        <v>42.84956737955771</v>
      </c>
      <c r="I127" s="71">
        <f t="shared" si="69"/>
        <v>61.15946993579685</v>
      </c>
      <c r="J127" s="71">
        <f t="shared" si="60"/>
        <v>42.84956737955771</v>
      </c>
      <c r="K127" s="71">
        <f t="shared" si="70"/>
        <v>47.739057158962424</v>
      </c>
      <c r="L127" s="71">
        <f t="shared" si="62"/>
        <v>1.7748264949037118</v>
      </c>
      <c r="M127" s="71">
        <f t="shared" si="63"/>
        <v>3.2570847429771757</v>
      </c>
      <c r="N127" s="71">
        <f t="shared" si="64"/>
        <v>0.7807818706428962</v>
      </c>
      <c r="O127" s="71">
        <f t="shared" si="65"/>
        <v>66.77705918432464</v>
      </c>
      <c r="P127" s="71">
        <f t="shared" si="66"/>
        <v>0.23334922202411207</v>
      </c>
    </row>
    <row r="128" spans="2:16" s="69" customFormat="1" ht="13.5">
      <c r="B128" s="71">
        <f t="shared" si="67"/>
        <v>41.13208495789148</v>
      </c>
      <c r="C128" s="69">
        <f t="shared" si="68"/>
        <v>48.001000000000005</v>
      </c>
      <c r="D128" s="69">
        <f t="shared" si="40"/>
        <v>69</v>
      </c>
      <c r="E128" s="71">
        <f t="shared" si="55"/>
        <v>0.8377754942497982</v>
      </c>
      <c r="F128" s="71">
        <f t="shared" si="56"/>
        <v>1.2042771838760873</v>
      </c>
      <c r="G128" s="71">
        <f t="shared" si="57"/>
        <v>136.29387835306372</v>
      </c>
      <c r="H128" s="71">
        <f t="shared" si="58"/>
        <v>41.08403968726031</v>
      </c>
      <c r="I128" s="71">
        <f t="shared" si="69"/>
        <v>58.107418303486085</v>
      </c>
      <c r="J128" s="71">
        <f t="shared" si="60"/>
        <v>41.08403968726031</v>
      </c>
      <c r="K128" s="71">
        <f t="shared" si="70"/>
        <v>46.54192708022782</v>
      </c>
      <c r="L128" s="71">
        <f t="shared" si="62"/>
        <v>1.792279787423655</v>
      </c>
      <c r="M128" s="71">
        <f t="shared" si="63"/>
        <v>3.2693886601519666</v>
      </c>
      <c r="N128" s="71">
        <f t="shared" si="64"/>
        <v>0.7282169610177962</v>
      </c>
      <c r="O128" s="71">
        <f t="shared" si="65"/>
        <v>65.35952996735828</v>
      </c>
      <c r="P128" s="71">
        <f t="shared" si="66"/>
        <v>0.23182120142247414</v>
      </c>
    </row>
    <row r="129" spans="2:16" s="69" customFormat="1" ht="13.5">
      <c r="B129" s="71">
        <f t="shared" si="67"/>
        <v>41.13094272190747</v>
      </c>
      <c r="C129" s="69">
        <f t="shared" si="68"/>
        <v>48.001000000000005</v>
      </c>
      <c r="D129" s="69">
        <f t="shared" si="40"/>
        <v>70</v>
      </c>
      <c r="E129" s="71">
        <f t="shared" si="55"/>
        <v>0.8377754942497982</v>
      </c>
      <c r="F129" s="71">
        <f t="shared" si="56"/>
        <v>1.2217304763960306</v>
      </c>
      <c r="G129" s="71">
        <f t="shared" si="57"/>
        <v>136.29387835306372</v>
      </c>
      <c r="H129" s="71">
        <f t="shared" si="58"/>
        <v>39.30457845389725</v>
      </c>
      <c r="I129" s="71">
        <f t="shared" si="69"/>
        <v>55.09599421204639</v>
      </c>
      <c r="J129" s="71">
        <f t="shared" si="60"/>
        <v>39.30457845389725</v>
      </c>
      <c r="K129" s="71">
        <f t="shared" si="70"/>
        <v>45.360732659555765</v>
      </c>
      <c r="L129" s="71">
        <f t="shared" si="62"/>
        <v>1.809733079943598</v>
      </c>
      <c r="M129" s="71">
        <f t="shared" si="63"/>
        <v>3.2827896493451227</v>
      </c>
      <c r="N129" s="71">
        <f t="shared" si="64"/>
        <v>0.6752372092296027</v>
      </c>
      <c r="O129" s="71">
        <f t="shared" si="65"/>
        <v>63.98838761370232</v>
      </c>
      <c r="P129" s="71">
        <f t="shared" si="66"/>
        <v>0.23190836244556715</v>
      </c>
    </row>
    <row r="130" spans="2:16" s="69" customFormat="1" ht="13.5">
      <c r="B130" s="71">
        <f t="shared" si="67"/>
        <v>41.10907679648657</v>
      </c>
      <c r="C130" s="69">
        <f t="shared" si="68"/>
        <v>48.001000000000005</v>
      </c>
      <c r="D130" s="69">
        <f t="shared" si="40"/>
        <v>71</v>
      </c>
      <c r="E130" s="71">
        <f t="shared" si="55"/>
        <v>0.8377754942497982</v>
      </c>
      <c r="F130" s="71">
        <f t="shared" si="56"/>
        <v>1.239183768915974</v>
      </c>
      <c r="G130" s="71">
        <f t="shared" si="57"/>
        <v>136.29387835306372</v>
      </c>
      <c r="H130" s="71">
        <f t="shared" si="58"/>
        <v>37.50992049257642</v>
      </c>
      <c r="I130" s="71">
        <f t="shared" si="69"/>
        <v>52.12259246172309</v>
      </c>
      <c r="J130" s="71">
        <f t="shared" si="60"/>
        <v>37.50992049257642</v>
      </c>
      <c r="K130" s="71">
        <f t="shared" si="70"/>
        <v>44.19445203907388</v>
      </c>
      <c r="L130" s="71">
        <f t="shared" si="62"/>
        <v>1.8271863724635415</v>
      </c>
      <c r="M130" s="71">
        <f t="shared" si="63"/>
        <v>3.297309476365921</v>
      </c>
      <c r="N130" s="71">
        <f t="shared" si="64"/>
        <v>0.6218050065196917</v>
      </c>
      <c r="O130" s="71">
        <f t="shared" si="65"/>
        <v>62.66063719867102</v>
      </c>
      <c r="P130" s="71">
        <f t="shared" si="66"/>
        <v>0.2335771337268644</v>
      </c>
    </row>
    <row r="131" spans="2:16" s="69" customFormat="1" ht="13.5">
      <c r="B131" s="71">
        <f t="shared" si="67"/>
        <v>41.06685487214089</v>
      </c>
      <c r="C131" s="69">
        <f t="shared" si="68"/>
        <v>48.001000000000005</v>
      </c>
      <c r="D131" s="69">
        <f t="shared" si="40"/>
        <v>72</v>
      </c>
      <c r="E131" s="71">
        <f t="shared" si="55"/>
        <v>0.8377754942497982</v>
      </c>
      <c r="F131" s="71">
        <f t="shared" si="56"/>
        <v>1.2566370614359172</v>
      </c>
      <c r="G131" s="71">
        <f t="shared" si="57"/>
        <v>136.29387835306372</v>
      </c>
      <c r="H131" s="71">
        <f t="shared" si="58"/>
        <v>35.698762256707205</v>
      </c>
      <c r="I131" s="71">
        <f t="shared" si="69"/>
        <v>49.18471901725621</v>
      </c>
      <c r="J131" s="71">
        <f t="shared" si="60"/>
        <v>35.698762256707205</v>
      </c>
      <c r="K131" s="71">
        <f t="shared" si="70"/>
        <v>43.042106963828815</v>
      </c>
      <c r="L131" s="71">
        <f t="shared" si="62"/>
        <v>1.8446396649834846</v>
      </c>
      <c r="M131" s="71">
        <f t="shared" si="63"/>
        <v>3.3129719635610875</v>
      </c>
      <c r="N131" s="71">
        <f t="shared" si="64"/>
        <v>0.5678815425034818</v>
      </c>
      <c r="O131" s="71">
        <f t="shared" si="65"/>
        <v>61.37345158310771</v>
      </c>
      <c r="P131" s="71">
        <f t="shared" si="66"/>
        <v>0.23680070657861177</v>
      </c>
    </row>
    <row r="132" spans="2:16" s="69" customFormat="1" ht="13.5">
      <c r="B132" s="71">
        <f t="shared" si="67"/>
        <v>41.00457492201227</v>
      </c>
      <c r="C132" s="69">
        <f t="shared" si="68"/>
        <v>48.001000000000005</v>
      </c>
      <c r="D132" s="69">
        <f t="shared" si="40"/>
        <v>73</v>
      </c>
      <c r="E132" s="71">
        <f t="shared" si="55"/>
        <v>0.8377754942497982</v>
      </c>
      <c r="F132" s="71">
        <f t="shared" si="56"/>
        <v>1.2740903539558606</v>
      </c>
      <c r="G132" s="71">
        <f t="shared" si="57"/>
        <v>136.29387835306372</v>
      </c>
      <c r="H132" s="71">
        <f t="shared" si="58"/>
        <v>33.86975581055276</v>
      </c>
      <c r="I132" s="71">
        <f t="shared" si="69"/>
        <v>46.27998190580472</v>
      </c>
      <c r="J132" s="71">
        <f t="shared" si="60"/>
        <v>33.86975581055276</v>
      </c>
      <c r="K132" s="71">
        <f t="shared" si="70"/>
        <v>41.90275921160796</v>
      </c>
      <c r="L132" s="71">
        <f t="shared" si="62"/>
        <v>1.8620929575034282</v>
      </c>
      <c r="M132" s="71">
        <f t="shared" si="63"/>
        <v>3.3298030883232532</v>
      </c>
      <c r="N132" s="71">
        <f t="shared" si="64"/>
        <v>0.5134266852020202</v>
      </c>
      <c r="O132" s="71">
        <f t="shared" si="65"/>
        <v>60.12415472414713</v>
      </c>
      <c r="P132" s="71">
        <f t="shared" si="66"/>
        <v>0.24155859968604704</v>
      </c>
    </row>
    <row r="133" spans="2:16" s="69" customFormat="1" ht="13.5">
      <c r="B133" s="71">
        <f t="shared" si="67"/>
        <v>40.92246795827708</v>
      </c>
      <c r="C133" s="69">
        <f t="shared" si="68"/>
        <v>48.001000000000005</v>
      </c>
      <c r="D133" s="69">
        <f t="shared" si="40"/>
        <v>74</v>
      </c>
      <c r="E133" s="71">
        <f t="shared" si="55"/>
        <v>0.8377754942497982</v>
      </c>
      <c r="F133" s="71">
        <f t="shared" si="56"/>
        <v>1.2915436464758039</v>
      </c>
      <c r="G133" s="71">
        <f t="shared" si="57"/>
        <v>136.29387835306372</v>
      </c>
      <c r="H133" s="71">
        <f t="shared" si="58"/>
        <v>32.02150453781869</v>
      </c>
      <c r="I133" s="71">
        <f t="shared" si="69"/>
        <v>43.40608276923955</v>
      </c>
      <c r="J133" s="71">
        <f t="shared" si="60"/>
        <v>32.02150453781869</v>
      </c>
      <c r="K133" s="71">
        <f t="shared" si="70"/>
        <v>40.77550727942922</v>
      </c>
      <c r="L133" s="71">
        <f t="shared" si="62"/>
        <v>1.8795462500233713</v>
      </c>
      <c r="M133" s="71">
        <f t="shared" si="63"/>
        <v>3.347831092152982</v>
      </c>
      <c r="N133" s="71">
        <f t="shared" si="64"/>
        <v>0.4583988532741495</v>
      </c>
      <c r="O133" s="71">
        <f t="shared" si="65"/>
        <v>58.910206366962015</v>
      </c>
      <c r="P133" s="71">
        <f t="shared" si="66"/>
        <v>0.24783618494682955</v>
      </c>
    </row>
    <row r="134" spans="2:16" s="69" customFormat="1" ht="13.5">
      <c r="B134" s="71">
        <f t="shared" si="67"/>
        <v>40.820700263959644</v>
      </c>
      <c r="C134" s="69">
        <f t="shared" si="68"/>
        <v>48.001000000000005</v>
      </c>
      <c r="D134" s="69">
        <f t="shared" si="40"/>
        <v>75</v>
      </c>
      <c r="E134" s="71">
        <f t="shared" si="55"/>
        <v>0.8377754942497982</v>
      </c>
      <c r="F134" s="71">
        <f t="shared" si="56"/>
        <v>1.3089969389957472</v>
      </c>
      <c r="G134" s="71">
        <f t="shared" si="57"/>
        <v>136.29387835306372</v>
      </c>
      <c r="H134" s="71">
        <f t="shared" si="58"/>
        <v>30.152558557855457</v>
      </c>
      <c r="I134" s="71">
        <f t="shared" si="69"/>
        <v>40.560809004261195</v>
      </c>
      <c r="J134" s="71">
        <f aca="true" t="shared" si="71" ref="J134:J166">0.5*$J$18*N134*$D$3+$G$18</f>
        <v>30.152558557855457</v>
      </c>
      <c r="K134" s="71">
        <f t="shared" si="70"/>
        <v>39.65948330059791</v>
      </c>
      <c r="L134" s="71">
        <f t="shared" si="62"/>
        <v>1.8969995425433148</v>
      </c>
      <c r="M134" s="71">
        <f aca="true" t="shared" si="72" ref="M134:M165">J$18/SIN(L134)*SIN(J$19)</f>
        <v>3.3670866011551928</v>
      </c>
      <c r="N134" s="71">
        <f t="shared" si="64"/>
        <v>0.4027548795434824</v>
      </c>
      <c r="O134" s="71">
        <f t="shared" si="65"/>
        <v>57.7291879388587</v>
      </c>
      <c r="P134" s="71">
        <f t="shared" si="66"/>
        <v>0.25562417372368323</v>
      </c>
    </row>
    <row r="135" spans="2:16" s="69" customFormat="1" ht="13.5">
      <c r="B135" s="71">
        <f t="shared" si="67"/>
        <v>40.69937513271433</v>
      </c>
      <c r="C135" s="69">
        <f t="shared" si="68"/>
        <v>48.001000000000005</v>
      </c>
      <c r="D135" s="69">
        <f t="shared" si="40"/>
        <v>76</v>
      </c>
      <c r="E135" s="71">
        <f t="shared" si="55"/>
        <v>0.8377754942497982</v>
      </c>
      <c r="F135" s="71">
        <f t="shared" si="56"/>
        <v>1.3264502315156903</v>
      </c>
      <c r="G135" s="71">
        <f t="shared" si="57"/>
        <v>136.29387835306372</v>
      </c>
      <c r="H135" s="71">
        <f t="shared" si="58"/>
        <v>28.2614098159386</v>
      </c>
      <c r="I135" s="71">
        <f t="shared" si="69"/>
        <v>37.7420264303865</v>
      </c>
      <c r="J135" s="71">
        <f t="shared" si="71"/>
        <v>28.2614098159386</v>
      </c>
      <c r="K135" s="71">
        <f t="shared" si="70"/>
        <v>38.55385016881386</v>
      </c>
      <c r="L135" s="71">
        <f t="shared" si="62"/>
        <v>1.914452835063258</v>
      </c>
      <c r="M135" s="71">
        <f t="shared" si="72"/>
        <v>3.3876027589624966</v>
      </c>
      <c r="N135" s="71">
        <f t="shared" si="64"/>
        <v>0.34644986482172163</v>
      </c>
      <c r="O135" s="71">
        <f t="shared" si="65"/>
        <v>56.57878948662908</v>
      </c>
      <c r="P135" s="71">
        <f t="shared" si="66"/>
        <v>0.2649180586781774</v>
      </c>
    </row>
    <row r="136" spans="2:16" s="69" customFormat="1" ht="13.5">
      <c r="B136" s="71">
        <f t="shared" si="67"/>
        <v>40.55853414219547</v>
      </c>
      <c r="C136" s="69">
        <f t="shared" si="68"/>
        <v>48.001000000000005</v>
      </c>
      <c r="D136" s="69">
        <f t="shared" si="40"/>
        <v>77</v>
      </c>
      <c r="E136" s="71">
        <f t="shared" si="55"/>
        <v>0.8377754942497982</v>
      </c>
      <c r="F136" s="71">
        <f t="shared" si="56"/>
        <v>1.3439035240356338</v>
      </c>
      <c r="G136" s="71">
        <f t="shared" si="57"/>
        <v>136.29387835306372</v>
      </c>
      <c r="H136" s="71">
        <f t="shared" si="58"/>
        <v>26.34648681054474</v>
      </c>
      <c r="I136" s="71">
        <f t="shared" si="69"/>
        <v>34.9476724316321</v>
      </c>
      <c r="J136" s="71">
        <f t="shared" si="71"/>
        <v>26.34648681054474</v>
      </c>
      <c r="K136" s="71">
        <f t="shared" si="70"/>
        <v>37.4577988480803</v>
      </c>
      <c r="L136" s="71">
        <f t="shared" si="62"/>
        <v>1.9319061275832015</v>
      </c>
      <c r="M136" s="71">
        <f t="shared" si="72"/>
        <v>3.409415373203253</v>
      </c>
      <c r="N136" s="71">
        <f t="shared" si="64"/>
        <v>0.2894370209242849</v>
      </c>
      <c r="O136" s="71">
        <f t="shared" si="65"/>
        <v>55.45679751452882</v>
      </c>
      <c r="P136" s="71">
        <f t="shared" si="66"/>
        <v>0.27571750306209575</v>
      </c>
    </row>
    <row r="137" spans="2:16" s="69" customFormat="1" ht="13.5">
      <c r="B137" s="71">
        <f t="shared" si="67"/>
        <v>40.398157980265246</v>
      </c>
      <c r="C137" s="69">
        <f t="shared" si="68"/>
        <v>48.001000000000005</v>
      </c>
      <c r="D137" s="69">
        <f t="shared" si="40"/>
        <v>78</v>
      </c>
      <c r="E137" s="71">
        <f t="shared" si="55"/>
        <v>0.8377754942497982</v>
      </c>
      <c r="F137" s="71">
        <f t="shared" si="56"/>
        <v>1.361356816555577</v>
      </c>
      <c r="G137" s="71">
        <f t="shared" si="57"/>
        <v>136.29387835306372</v>
      </c>
      <c r="H137" s="71">
        <f t="shared" si="58"/>
        <v>24.40614891650218</v>
      </c>
      <c r="I137" s="71">
        <f t="shared" si="69"/>
        <v>32.17574952279962</v>
      </c>
      <c r="J137" s="71">
        <f t="shared" si="71"/>
        <v>24.40614891650218</v>
      </c>
      <c r="K137" s="71">
        <f t="shared" si="70"/>
        <v>36.370545849157565</v>
      </c>
      <c r="L137" s="71">
        <f t="shared" si="62"/>
        <v>1.9493594201031446</v>
      </c>
      <c r="M137" s="71">
        <f t="shared" si="72"/>
        <v>3.4325630767730444</v>
      </c>
      <c r="N137" s="71">
        <f t="shared" si="64"/>
        <v>0.23166750165393885</v>
      </c>
      <c r="O137" s="71">
        <f t="shared" si="65"/>
        <v>54.36108359405394</v>
      </c>
      <c r="P137" s="71">
        <f t="shared" si="66"/>
        <v>0.28802566678095926</v>
      </c>
    </row>
    <row r="138" spans="2:16" s="69" customFormat="1" ht="13.5">
      <c r="B138" s="71">
        <f t="shared" si="67"/>
        <v>40.218166837350026</v>
      </c>
      <c r="C138" s="69">
        <f t="shared" si="68"/>
        <v>48.001000000000005</v>
      </c>
      <c r="D138" s="69">
        <f t="shared" si="40"/>
        <v>79</v>
      </c>
      <c r="E138" s="71">
        <f t="shared" si="55"/>
        <v>0.8377754942497982</v>
      </c>
      <c r="F138" s="71">
        <f t="shared" si="56"/>
        <v>1.3788101090755203</v>
      </c>
      <c r="G138" s="71">
        <f t="shared" si="57"/>
        <v>136.29387835306372</v>
      </c>
      <c r="H138" s="71">
        <f t="shared" si="58"/>
        <v>22.438680258289008</v>
      </c>
      <c r="I138" s="71">
        <f t="shared" si="69"/>
        <v>29.424319295722153</v>
      </c>
      <c r="J138" s="71">
        <f t="shared" si="71"/>
        <v>22.438680258289008</v>
      </c>
      <c r="K138" s="71">
        <f t="shared" si="70"/>
        <v>35.29133085505204</v>
      </c>
      <c r="L138" s="71">
        <f t="shared" si="62"/>
        <v>1.9668127126230877</v>
      </c>
      <c r="M138" s="71">
        <f t="shared" si="72"/>
        <v>3.4570875053272205</v>
      </c>
      <c r="N138" s="71">
        <f t="shared" si="64"/>
        <v>0.17309022039101127</v>
      </c>
      <c r="O138" s="71">
        <f t="shared" si="65"/>
        <v>53.289593628159054</v>
      </c>
      <c r="P138" s="71">
        <f t="shared" si="66"/>
        <v>0.3018484567138642</v>
      </c>
    </row>
    <row r="139" spans="2:16" s="69" customFormat="1" ht="13.5">
      <c r="B139" s="71">
        <f t="shared" si="67"/>
        <v>40.018420372619296</v>
      </c>
      <c r="C139" s="69">
        <f t="shared" si="68"/>
        <v>48.001000000000005</v>
      </c>
      <c r="D139" s="69">
        <f t="shared" si="40"/>
        <v>80</v>
      </c>
      <c r="E139" s="71">
        <f t="shared" si="55"/>
        <v>0.8377754942497982</v>
      </c>
      <c r="F139" s="71">
        <f t="shared" si="56"/>
        <v>1.3962634015954636</v>
      </c>
      <c r="G139" s="71">
        <f t="shared" si="57"/>
        <v>136.29387835306372</v>
      </c>
      <c r="H139" s="71">
        <f t="shared" si="58"/>
        <v>20.442283082501756</v>
      </c>
      <c r="I139" s="71">
        <f t="shared" si="69"/>
        <v>26.691496704743898</v>
      </c>
      <c r="J139" s="71">
        <f t="shared" si="71"/>
        <v>20.442283082501756</v>
      </c>
      <c r="K139" s="71">
        <f t="shared" si="70"/>
        <v>34.21941447956511</v>
      </c>
      <c r="L139" s="71">
        <f t="shared" si="62"/>
        <v>1.9842660051430312</v>
      </c>
      <c r="M139" s="71">
        <f t="shared" si="72"/>
        <v>3.483033492591896</v>
      </c>
      <c r="N139" s="71">
        <f t="shared" si="64"/>
        <v>0.1136516527724497</v>
      </c>
      <c r="O139" s="71">
        <f t="shared" si="65"/>
        <v>52.24033766198059</v>
      </c>
      <c r="P139" s="71">
        <f t="shared" si="66"/>
        <v>0.3171936877594595</v>
      </c>
    </row>
    <row r="140" spans="2:16" s="69" customFormat="1" ht="13.5">
      <c r="B140" s="71">
        <f t="shared" si="67"/>
        <v>39.79871725621004</v>
      </c>
      <c r="C140" s="69">
        <f t="shared" si="68"/>
        <v>48.001000000000005</v>
      </c>
      <c r="D140" s="69">
        <f t="shared" si="40"/>
        <v>81</v>
      </c>
      <c r="E140" s="71">
        <f t="shared" si="55"/>
        <v>0.8377754942497982</v>
      </c>
      <c r="F140" s="71">
        <f t="shared" si="56"/>
        <v>1.413716694115407</v>
      </c>
      <c r="G140" s="71">
        <f t="shared" si="57"/>
        <v>136.29387835306372</v>
      </c>
      <c r="H140" s="71">
        <f t="shared" si="58"/>
        <v>18.415070572518374</v>
      </c>
      <c r="I140" s="71">
        <f t="shared" si="69"/>
        <v>23.97544465412669</v>
      </c>
      <c r="J140" s="71">
        <f t="shared" si="71"/>
        <v>18.415070572518374</v>
      </c>
      <c r="K140" s="71">
        <f t="shared" si="70"/>
        <v>33.15407614426935</v>
      </c>
      <c r="L140" s="71">
        <f t="shared" si="62"/>
        <v>2.0017192976629743</v>
      </c>
      <c r="M140" s="71">
        <f t="shared" si="72"/>
        <v>3.510449285294637</v>
      </c>
      <c r="N140" s="71">
        <f t="shared" si="64"/>
        <v>0.053295622763378</v>
      </c>
      <c r="O140" s="71">
        <f t="shared" si="65"/>
        <v>51.21138013970574</v>
      </c>
      <c r="P140" s="71">
        <f t="shared" si="66"/>
        <v>0.3340701410471849</v>
      </c>
    </row>
    <row r="141" spans="2:16" s="69" customFormat="1" ht="13.5">
      <c r="B141" s="71">
        <f t="shared" si="67"/>
        <v>40.83362769083274</v>
      </c>
      <c r="C141" s="69">
        <f t="shared" si="68"/>
        <v>48.001000000000005</v>
      </c>
      <c r="D141" s="69">
        <f>D110</f>
        <v>82</v>
      </c>
      <c r="E141" s="71">
        <f t="shared" si="55"/>
        <v>0.8377754942497982</v>
      </c>
      <c r="F141" s="71">
        <f t="shared" si="56"/>
        <v>1.43116998663535</v>
      </c>
      <c r="G141" s="71">
        <f t="shared" si="57"/>
        <v>136.29387835306372</v>
      </c>
      <c r="H141" s="71">
        <f t="shared" si="58"/>
        <v>21.274368853074545</v>
      </c>
      <c r="I141" s="71">
        <f t="shared" si="69"/>
        <v>21.274368853074545</v>
      </c>
      <c r="J141" s="71">
        <f t="shared" si="71"/>
        <v>16.355059041525283</v>
      </c>
      <c r="K141" s="71">
        <f t="shared" si="70"/>
        <v>32.09461206045451</v>
      </c>
      <c r="L141" s="71">
        <f t="shared" si="62"/>
        <v>2.0191725901829174</v>
      </c>
      <c r="M141" s="71">
        <f t="shared" si="72"/>
        <v>3.539386779747792</v>
      </c>
      <c r="N141" s="71">
        <f t="shared" si="64"/>
        <v>-0.008036929779261789</v>
      </c>
      <c r="O141" s="71">
        <f t="shared" si="65"/>
        <v>51.818617327158805</v>
      </c>
      <c r="P141" s="71">
        <f t="shared" si="66"/>
        <v>0.25463446082486757</v>
      </c>
    </row>
    <row r="142" spans="2:16" s="69" customFormat="1" ht="13.5">
      <c r="B142" s="71">
        <f t="shared" si="67"/>
        <v>40.427610248701946</v>
      </c>
      <c r="C142" s="69">
        <f t="shared" si="68"/>
        <v>48.001000000000005</v>
      </c>
      <c r="D142" s="69">
        <f t="shared" si="40"/>
        <v>83</v>
      </c>
      <c r="E142" s="71">
        <f t="shared" si="55"/>
        <v>0.8377754942497982</v>
      </c>
      <c r="F142" s="71">
        <f t="shared" si="56"/>
        <v>1.4486232791552935</v>
      </c>
      <c r="G142" s="71">
        <f t="shared" si="57"/>
        <v>136.29387835306372</v>
      </c>
      <c r="H142" s="71">
        <f t="shared" si="58"/>
        <v>18.586512906677186</v>
      </c>
      <c r="I142" s="71">
        <f t="shared" si="69"/>
        <v>18.586512906677186</v>
      </c>
      <c r="J142" s="71">
        <f t="shared" si="71"/>
        <v>14.26015943222883</v>
      </c>
      <c r="K142" s="71">
        <f t="shared" si="70"/>
        <v>31.040333303609955</v>
      </c>
      <c r="L142" s="71">
        <f t="shared" si="62"/>
        <v>2.036625882702861</v>
      </c>
      <c r="M142" s="71">
        <f t="shared" si="72"/>
        <v>3.569901782381449</v>
      </c>
      <c r="N142" s="71">
        <f t="shared" si="64"/>
        <v>-0.0704082021850964</v>
      </c>
      <c r="O142" s="71">
        <f t="shared" si="65"/>
        <v>50.62085236644179</v>
      </c>
      <c r="P142" s="71">
        <f t="shared" si="66"/>
        <v>0.28576463038871314</v>
      </c>
    </row>
    <row r="143" spans="2:16" s="69" customFormat="1" ht="13.5">
      <c r="B143" s="71">
        <f t="shared" si="67"/>
        <v>40.01111972005073</v>
      </c>
      <c r="C143" s="69">
        <f t="shared" si="68"/>
        <v>48.001000000000005</v>
      </c>
      <c r="D143" s="69">
        <f t="shared" si="40"/>
        <v>84</v>
      </c>
      <c r="E143" s="71">
        <f t="shared" si="55"/>
        <v>0.8377754942497982</v>
      </c>
      <c r="F143" s="71">
        <f t="shared" si="56"/>
        <v>1.4660765716752369</v>
      </c>
      <c r="G143" s="71">
        <f t="shared" si="57"/>
        <v>136.29387835306372</v>
      </c>
      <c r="H143" s="71">
        <f t="shared" si="58"/>
        <v>15.910153613341771</v>
      </c>
      <c r="I143" s="71">
        <f t="shared" si="69"/>
        <v>15.910153613341771</v>
      </c>
      <c r="J143" s="71">
        <f t="shared" si="71"/>
        <v>12.128168042573405</v>
      </c>
      <c r="K143" s="71">
        <f t="shared" si="70"/>
        <v>29.990563968899536</v>
      </c>
      <c r="L143" s="71">
        <f t="shared" si="62"/>
        <v>2.0540791752228045</v>
      </c>
      <c r="M143" s="71">
        <f t="shared" si="72"/>
        <v>3.602054296824678</v>
      </c>
      <c r="N143" s="71">
        <f t="shared" si="64"/>
        <v>-0.1338838050927462</v>
      </c>
      <c r="O143" s="71">
        <f t="shared" si="65"/>
        <v>49.45646382986506</v>
      </c>
      <c r="P143" s="71">
        <f t="shared" si="66"/>
        <v>0.3177545668039494</v>
      </c>
    </row>
    <row r="144" spans="2:16" s="69" customFormat="1" ht="13.5">
      <c r="B144" s="71">
        <f t="shared" si="67"/>
        <v>39.584177084627306</v>
      </c>
      <c r="C144" s="69">
        <f t="shared" si="68"/>
        <v>48.001000000000005</v>
      </c>
      <c r="D144" s="69">
        <f t="shared" si="40"/>
        <v>85</v>
      </c>
      <c r="E144" s="71">
        <f t="shared" si="55"/>
        <v>0.8377754942497982</v>
      </c>
      <c r="F144" s="71">
        <f t="shared" si="56"/>
        <v>1.4835298641951802</v>
      </c>
      <c r="G144" s="71">
        <f t="shared" si="57"/>
        <v>136.29387835306372</v>
      </c>
      <c r="H144" s="71">
        <f t="shared" si="58"/>
        <v>13.24359644123674</v>
      </c>
      <c r="I144" s="71">
        <f t="shared" si="69"/>
        <v>13.24359644123674</v>
      </c>
      <c r="J144" s="71">
        <f t="shared" si="71"/>
        <v>9.956756386451493</v>
      </c>
      <c r="K144" s="71">
        <f t="shared" si="70"/>
        <v>28.944639396851734</v>
      </c>
      <c r="L144" s="71">
        <f t="shared" si="62"/>
        <v>2.0715324677427476</v>
      </c>
      <c r="M144" s="71">
        <f t="shared" si="72"/>
        <v>3.6359088404790922</v>
      </c>
      <c r="N144" s="71">
        <f t="shared" si="64"/>
        <v>-0.1985330643260647</v>
      </c>
      <c r="O144" s="71">
        <f t="shared" si="65"/>
        <v>48.32335750194655</v>
      </c>
      <c r="P144" s="71">
        <f t="shared" si="66"/>
        <v>0.35053914751066906</v>
      </c>
    </row>
    <row r="145" spans="2:16" s="69" customFormat="1" ht="13.5">
      <c r="B145" s="71">
        <f t="shared" si="67"/>
        <v>39.14677127257274</v>
      </c>
      <c r="C145" s="69">
        <f>C144</f>
        <v>48.001000000000005</v>
      </c>
      <c r="D145" s="69">
        <f t="shared" si="40"/>
        <v>86</v>
      </c>
      <c r="E145" s="71">
        <f t="shared" si="55"/>
        <v>0.8377754942497982</v>
      </c>
      <c r="F145" s="71">
        <f t="shared" si="56"/>
        <v>1.5009831567151233</v>
      </c>
      <c r="G145" s="71">
        <f t="shared" si="57"/>
        <v>136.29387835306372</v>
      </c>
      <c r="H145" s="71">
        <f t="shared" si="58"/>
        <v>10.585171157948913</v>
      </c>
      <c r="I145" s="71">
        <f t="shared" si="69"/>
        <v>10.585171157948913</v>
      </c>
      <c r="J145" s="71">
        <f t="shared" si="71"/>
        <v>7.743460086500027</v>
      </c>
      <c r="K145" s="71">
        <f t="shared" si="70"/>
        <v>27.90190445914594</v>
      </c>
      <c r="L145" s="71">
        <f t="shared" si="62"/>
        <v>2.0889857602626907</v>
      </c>
      <c r="M145" s="71">
        <f t="shared" si="72"/>
        <v>3.6715347939252476</v>
      </c>
      <c r="N145" s="71">
        <f t="shared" si="64"/>
        <v>-0.26442935158799213</v>
      </c>
      <c r="O145" s="71">
        <f t="shared" si="65"/>
        <v>47.21953813495431</v>
      </c>
      <c r="P145" s="71">
        <f t="shared" si="66"/>
        <v>0.3840457192304945</v>
      </c>
    </row>
    <row r="146" spans="2:16" s="69" customFormat="1" ht="13.5">
      <c r="B146" s="71">
        <f t="shared" si="67"/>
        <v>38.69886021923706</v>
      </c>
      <c r="C146" s="69">
        <f t="shared" si="68"/>
        <v>48.001000000000005</v>
      </c>
      <c r="D146" s="69">
        <f t="shared" si="40"/>
        <v>87</v>
      </c>
      <c r="E146" s="71">
        <f t="shared" si="55"/>
        <v>0.8377754942497982</v>
      </c>
      <c r="F146" s="71">
        <f t="shared" si="56"/>
        <v>1.5184364492350666</v>
      </c>
      <c r="G146" s="71">
        <f t="shared" si="57"/>
        <v>136.29387835306372</v>
      </c>
      <c r="H146" s="71">
        <f t="shared" si="58"/>
        <v>7.933227588970383</v>
      </c>
      <c r="I146" s="71">
        <f t="shared" si="69"/>
        <v>7.933227588970383</v>
      </c>
      <c r="J146" s="71">
        <f t="shared" si="71"/>
        <v>5.4856666823648865</v>
      </c>
      <c r="K146" s="71">
        <f t="shared" si="70"/>
        <v>26.861711894930572</v>
      </c>
      <c r="L146" s="71">
        <f t="shared" si="62"/>
        <v>2.106439052782634</v>
      </c>
      <c r="M146" s="71">
        <f t="shared" si="72"/>
        <v>3.7090067869585464</v>
      </c>
      <c r="N146" s="71">
        <f t="shared" si="64"/>
        <v>-0.3316504474440855</v>
      </c>
      <c r="O146" s="71">
        <f t="shared" si="65"/>
        <v>46.14310040000756</v>
      </c>
      <c r="P146" s="71">
        <f t="shared" si="66"/>
        <v>0.41819439277413006</v>
      </c>
    </row>
    <row r="147" spans="2:16" s="69" customFormat="1" ht="13.5">
      <c r="B147" s="71">
        <f t="shared" si="67"/>
        <v>38.24037171595111</v>
      </c>
      <c r="C147" s="69">
        <f t="shared" si="68"/>
        <v>48.001000000000005</v>
      </c>
      <c r="D147" s="69">
        <f t="shared" si="40"/>
        <v>88</v>
      </c>
      <c r="E147" s="71">
        <f t="shared" si="55"/>
        <v>0.8377754942497982</v>
      </c>
      <c r="F147" s="71">
        <f t="shared" si="56"/>
        <v>1.53588974175501</v>
      </c>
      <c r="G147" s="71">
        <f t="shared" si="57"/>
        <v>136.29387835306372</v>
      </c>
      <c r="H147" s="71">
        <f t="shared" si="58"/>
        <v>5.286131481813329</v>
      </c>
      <c r="I147" s="71">
        <f t="shared" si="69"/>
        <v>5.286131481813329</v>
      </c>
      <c r="J147" s="71">
        <f t="shared" si="71"/>
        <v>3.180602221976846</v>
      </c>
      <c r="K147" s="71">
        <f t="shared" si="70"/>
        <v>25.823420688572526</v>
      </c>
      <c r="L147" s="71">
        <f t="shared" si="62"/>
        <v>2.1238923453025773</v>
      </c>
      <c r="M147" s="71">
        <f t="shared" si="72"/>
        <v>3.7484051255774977</v>
      </c>
      <c r="N147" s="71">
        <f t="shared" si="64"/>
        <v>-0.4002789405393484</v>
      </c>
      <c r="O147" s="71">
        <f t="shared" si="65"/>
        <v>45.092220463988305</v>
      </c>
      <c r="P147" s="71">
        <f t="shared" si="66"/>
        <v>0.45289858847984915</v>
      </c>
    </row>
    <row r="148" spans="2:16" s="69" customFormat="1" ht="13.5">
      <c r="B148" s="71">
        <f t="shared" si="67"/>
        <v>37.77120406921861</v>
      </c>
      <c r="C148" s="69">
        <f t="shared" si="68"/>
        <v>48.001000000000005</v>
      </c>
      <c r="D148" s="69">
        <f t="shared" si="40"/>
        <v>89</v>
      </c>
      <c r="E148" s="71">
        <f t="shared" si="55"/>
        <v>0.8377754942497982</v>
      </c>
      <c r="F148" s="71">
        <f t="shared" si="56"/>
        <v>1.5533430342749535</v>
      </c>
      <c r="G148" s="71">
        <f t="shared" si="57"/>
        <v>136.29387835306372</v>
      </c>
      <c r="H148" s="71">
        <f t="shared" si="58"/>
        <v>2.642260453508916</v>
      </c>
      <c r="I148" s="71">
        <f t="shared" si="69"/>
        <v>2.642260453508916</v>
      </c>
      <c r="J148" s="71">
        <f t="shared" si="71"/>
        <v>0.8253164850416557</v>
      </c>
      <c r="K148" s="71">
        <f t="shared" si="70"/>
        <v>24.78639448011291</v>
      </c>
      <c r="L148" s="71">
        <f t="shared" si="62"/>
        <v>2.141345637822521</v>
      </c>
      <c r="M148" s="71">
        <f t="shared" si="72"/>
        <v>3.7898162648555984</v>
      </c>
      <c r="N148" s="71">
        <f t="shared" si="64"/>
        <v>-0.47040266753803595</v>
      </c>
      <c r="O148" s="71">
        <f t="shared" si="65"/>
        <v>44.06514812018602</v>
      </c>
      <c r="P148" s="71">
        <f t="shared" si="66"/>
        <v>0.48806583061228437</v>
      </c>
    </row>
    <row r="149" spans="2:16" s="69" customFormat="1" ht="13.5">
      <c r="B149" s="71">
        <f t="shared" si="67"/>
        <v>37.29122657863523</v>
      </c>
      <c r="C149" s="69">
        <f t="shared" si="68"/>
        <v>48.001000000000005</v>
      </c>
      <c r="D149" s="69">
        <f t="shared" si="40"/>
        <v>90</v>
      </c>
      <c r="E149" s="71">
        <f t="shared" si="55"/>
        <v>0.8377754942497982</v>
      </c>
      <c r="F149" s="71">
        <f t="shared" si="56"/>
        <v>1.5707963267948966</v>
      </c>
      <c r="G149" s="71">
        <f t="shared" si="57"/>
        <v>136.29387835306372</v>
      </c>
      <c r="H149" s="71">
        <f t="shared" si="58"/>
        <v>9.272842368089618E-15</v>
      </c>
      <c r="I149" s="71">
        <f t="shared" si="69"/>
        <v>9.272842368089618E-15</v>
      </c>
      <c r="J149" s="71">
        <f t="shared" si="71"/>
        <v>-1.5833333333333073</v>
      </c>
      <c r="K149" s="71">
        <f t="shared" si="70"/>
        <v>23.750000000000007</v>
      </c>
      <c r="L149" s="71">
        <f t="shared" si="62"/>
        <v>2.158798930342464</v>
      </c>
      <c r="M149" s="71">
        <f t="shared" si="72"/>
        <v>3.8333333333333317</v>
      </c>
      <c r="N149" s="71">
        <f t="shared" si="64"/>
        <v>-0.5421151989096857</v>
      </c>
      <c r="O149" s="71">
        <f t="shared" si="65"/>
        <v>43.06019940717275</v>
      </c>
      <c r="P149" s="71">
        <f t="shared" si="66"/>
        <v>0.5235987755982985</v>
      </c>
    </row>
    <row r="150" spans="2:16" s="69" customFormat="1" ht="13.5">
      <c r="B150" s="71">
        <f t="shared" si="67"/>
        <v>41.87791960453925</v>
      </c>
      <c r="C150" s="69">
        <f>C149+J21</f>
        <v>54.001000000000005</v>
      </c>
      <c r="D150" s="69">
        <f t="shared" si="40"/>
        <v>60</v>
      </c>
      <c r="E150" s="71">
        <f t="shared" si="55"/>
        <v>0.9424952493694579</v>
      </c>
      <c r="F150" s="71">
        <f t="shared" si="56"/>
        <v>1.0471975511965976</v>
      </c>
      <c r="G150" s="71">
        <f t="shared" si="57"/>
        <v>109.97633862317572</v>
      </c>
      <c r="H150" s="71">
        <f t="shared" si="58"/>
        <v>56.61327536344993</v>
      </c>
      <c r="I150" s="71">
        <f t="shared" si="69"/>
        <v>87.39639699857963</v>
      </c>
      <c r="J150" s="71">
        <f t="shared" si="71"/>
        <v>56.61327536344993</v>
      </c>
      <c r="K150" s="71">
        <f t="shared" si="70"/>
        <v>58.03017223313404</v>
      </c>
      <c r="L150" s="71">
        <f t="shared" si="62"/>
        <v>1.6352001547441652</v>
      </c>
      <c r="M150" s="71">
        <f t="shared" si="72"/>
        <v>3.196152422706631</v>
      </c>
      <c r="N150" s="71">
        <f t="shared" si="64"/>
        <v>1.1905676074715958</v>
      </c>
      <c r="O150" s="71">
        <f t="shared" si="65"/>
        <v>83.75583920907852</v>
      </c>
      <c r="P150" s="71">
        <f t="shared" si="66"/>
        <v>0.36330974672096183</v>
      </c>
    </row>
    <row r="151" spans="2:16" s="69" customFormat="1" ht="13.5">
      <c r="B151" s="71">
        <f t="shared" si="67"/>
        <v>42.17004328826145</v>
      </c>
      <c r="C151" s="69">
        <f>C150</f>
        <v>54.001000000000005</v>
      </c>
      <c r="D151" s="69">
        <f t="shared" si="40"/>
        <v>61</v>
      </c>
      <c r="E151" s="71">
        <f t="shared" si="55"/>
        <v>0.9424952493694579</v>
      </c>
      <c r="F151" s="71">
        <f t="shared" si="56"/>
        <v>1.064650843716541</v>
      </c>
      <c r="G151" s="71">
        <f t="shared" si="57"/>
        <v>109.97633862317572</v>
      </c>
      <c r="H151" s="71">
        <f t="shared" si="58"/>
        <v>54.91741842603781</v>
      </c>
      <c r="I151" s="71">
        <f t="shared" si="69"/>
        <v>83.90853266366291</v>
      </c>
      <c r="J151" s="71">
        <f t="shared" si="71"/>
        <v>54.91741842603781</v>
      </c>
      <c r="K151" s="71">
        <f t="shared" si="70"/>
        <v>56.662099930008154</v>
      </c>
      <c r="L151" s="71">
        <f t="shared" si="62"/>
        <v>1.6526534472641083</v>
      </c>
      <c r="M151" s="71">
        <f t="shared" si="72"/>
        <v>3.200241894286732</v>
      </c>
      <c r="N151" s="71">
        <f t="shared" si="64"/>
        <v>1.1400769994561701</v>
      </c>
      <c r="O151" s="71">
        <f t="shared" si="65"/>
        <v>81.87752584238747</v>
      </c>
      <c r="P151" s="71">
        <f t="shared" si="66"/>
        <v>0.3473200352624183</v>
      </c>
    </row>
    <row r="152" spans="2:16" s="69" customFormat="1" ht="13.5">
      <c r="B152" s="71">
        <f t="shared" si="67"/>
        <v>42.42895429179683</v>
      </c>
      <c r="C152" s="69">
        <f aca="true" t="shared" si="73" ref="C152:C180">C151</f>
        <v>54.001000000000005</v>
      </c>
      <c r="D152" s="69">
        <f t="shared" si="40"/>
        <v>62</v>
      </c>
      <c r="E152" s="71">
        <f t="shared" si="55"/>
        <v>0.9424952493694579</v>
      </c>
      <c r="F152" s="71">
        <f t="shared" si="56"/>
        <v>1.0821041362364843</v>
      </c>
      <c r="G152" s="71">
        <f t="shared" si="57"/>
        <v>109.97633862317572</v>
      </c>
      <c r="H152" s="71">
        <f t="shared" si="58"/>
        <v>53.21669751699319</v>
      </c>
      <c r="I152" s="71">
        <f t="shared" si="69"/>
        <v>80.48751521775635</v>
      </c>
      <c r="J152" s="71">
        <f t="shared" si="71"/>
        <v>53.21669751699319</v>
      </c>
      <c r="K152" s="71">
        <f t="shared" si="70"/>
        <v>55.3202475049003</v>
      </c>
      <c r="L152" s="71">
        <f t="shared" si="62"/>
        <v>1.6701067397840519</v>
      </c>
      <c r="M152" s="71">
        <f t="shared" si="72"/>
        <v>3.205319466443784</v>
      </c>
      <c r="N152" s="71">
        <f t="shared" si="64"/>
        <v>1.0894415768165406</v>
      </c>
      <c r="O152" s="71">
        <f t="shared" si="65"/>
        <v>80.06682745001105</v>
      </c>
      <c r="P152" s="71">
        <f t="shared" si="66"/>
        <v>0.3331785774797891</v>
      </c>
    </row>
    <row r="153" spans="2:16" s="69" customFormat="1" ht="13.5">
      <c r="B153" s="71">
        <f t="shared" si="67"/>
        <v>42.65585859175074</v>
      </c>
      <c r="C153" s="69">
        <f t="shared" si="73"/>
        <v>54.001000000000005</v>
      </c>
      <c r="D153" s="69">
        <f>D122</f>
        <v>63</v>
      </c>
      <c r="E153" s="71">
        <f t="shared" si="55"/>
        <v>0.9424952493694579</v>
      </c>
      <c r="F153" s="71">
        <f t="shared" si="56"/>
        <v>1.0995574287564276</v>
      </c>
      <c r="G153" s="71">
        <f t="shared" si="57"/>
        <v>109.97633862317572</v>
      </c>
      <c r="H153" s="71">
        <f t="shared" si="58"/>
        <v>51.51005054407396</v>
      </c>
      <c r="I153" s="71">
        <f t="shared" si="69"/>
        <v>77.12941491721917</v>
      </c>
      <c r="J153" s="71">
        <f t="shared" si="71"/>
        <v>51.51005054407396</v>
      </c>
      <c r="K153" s="71">
        <f t="shared" si="70"/>
        <v>54.00307356373172</v>
      </c>
      <c r="L153" s="71">
        <f t="shared" si="62"/>
        <v>1.687560032303995</v>
      </c>
      <c r="M153" s="71">
        <f t="shared" si="72"/>
        <v>3.2113929525108333</v>
      </c>
      <c r="N153" s="71">
        <f t="shared" si="64"/>
        <v>1.0386297179684278</v>
      </c>
      <c r="O153" s="71">
        <f t="shared" si="65"/>
        <v>78.31950310093698</v>
      </c>
      <c r="P153" s="71">
        <f t="shared" si="66"/>
        <v>0.3208132948699327</v>
      </c>
    </row>
    <row r="154" spans="2:16" s="69" customFormat="1" ht="13.5">
      <c r="B154" s="71">
        <f t="shared" si="67"/>
        <v>42.85183628903356</v>
      </c>
      <c r="C154" s="69">
        <f t="shared" si="73"/>
        <v>54.001000000000005</v>
      </c>
      <c r="D154" s="69">
        <f>D123</f>
        <v>64</v>
      </c>
      <c r="E154" s="71">
        <f t="shared" si="55"/>
        <v>0.9424952493694579</v>
      </c>
      <c r="F154" s="71">
        <f t="shared" si="56"/>
        <v>1.117010721276371</v>
      </c>
      <c r="G154" s="71">
        <f t="shared" si="57"/>
        <v>109.97633862317572</v>
      </c>
      <c r="H154" s="71">
        <f t="shared" si="58"/>
        <v>49.7964007486329</v>
      </c>
      <c r="I154" s="71">
        <f t="shared" si="69"/>
        <v>73.83052059415728</v>
      </c>
      <c r="J154" s="71">
        <f t="shared" si="71"/>
        <v>49.7964007486329</v>
      </c>
      <c r="K154" s="71">
        <f t="shared" si="70"/>
        <v>52.70912244609802</v>
      </c>
      <c r="L154" s="71">
        <f t="shared" si="62"/>
        <v>1.7050133248239385</v>
      </c>
      <c r="M154" s="71">
        <f t="shared" si="72"/>
        <v>3.21847173736185</v>
      </c>
      <c r="N154" s="71">
        <f t="shared" si="64"/>
        <v>0.9876093646658881</v>
      </c>
      <c r="O154" s="71">
        <f t="shared" si="65"/>
        <v>76.63158102162015</v>
      </c>
      <c r="P154" s="71">
        <f t="shared" si="66"/>
        <v>0.3101574002528179</v>
      </c>
    </row>
    <row r="155" spans="2:16" s="69" customFormat="1" ht="13.5">
      <c r="B155" s="71">
        <f t="shared" si="67"/>
        <v>43.01785026868424</v>
      </c>
      <c r="C155" s="69">
        <f t="shared" si="73"/>
        <v>54.001000000000005</v>
      </c>
      <c r="D155" s="69">
        <f>D124</f>
        <v>65</v>
      </c>
      <c r="E155" s="71">
        <f t="shared" si="55"/>
        <v>0.9424952493694579</v>
      </c>
      <c r="F155" s="71">
        <f t="shared" si="56"/>
        <v>1.1344640137963142</v>
      </c>
      <c r="G155" s="71">
        <f t="shared" si="57"/>
        <v>109.97633862317572</v>
      </c>
      <c r="H155" s="71">
        <f t="shared" si="58"/>
        <v>48.07465394252364</v>
      </c>
      <c r="I155" s="71">
        <f t="shared" si="69"/>
        <v>70.58732175321292</v>
      </c>
      <c r="J155" s="71">
        <f t="shared" si="71"/>
        <v>48.07465394252364</v>
      </c>
      <c r="K155" s="71">
        <f t="shared" si="70"/>
        <v>51.43701720295304</v>
      </c>
      <c r="L155" s="71">
        <f t="shared" si="62"/>
        <v>1.7224666173438816</v>
      </c>
      <c r="M155" s="71">
        <f t="shared" si="72"/>
        <v>3.2265668130425462</v>
      </c>
      <c r="N155" s="71">
        <f t="shared" si="64"/>
        <v>0.9363479397359457</v>
      </c>
      <c r="O155" s="71">
        <f t="shared" si="65"/>
        <v>74.99933320544572</v>
      </c>
      <c r="P155" s="71">
        <f t="shared" si="66"/>
        <v>0.30114998054720693</v>
      </c>
    </row>
    <row r="156" spans="2:16" s="69" customFormat="1" ht="13.5">
      <c r="B156" s="71">
        <f t="shared" si="67"/>
        <v>43.15475379705021</v>
      </c>
      <c r="C156" s="69">
        <f t="shared" si="73"/>
        <v>54.001000000000005</v>
      </c>
      <c r="D156" s="69">
        <f>D125</f>
        <v>66</v>
      </c>
      <c r="E156" s="71">
        <f t="shared" si="55"/>
        <v>0.9424952493694579</v>
      </c>
      <c r="F156" s="71">
        <f t="shared" si="56"/>
        <v>1.1519173063162575</v>
      </c>
      <c r="G156" s="71">
        <f t="shared" si="57"/>
        <v>109.97633862317572</v>
      </c>
      <c r="H156" s="71">
        <f t="shared" si="58"/>
        <v>46.34369565210348</v>
      </c>
      <c r="I156" s="71">
        <f t="shared" si="69"/>
        <v>67.39649223857965</v>
      </c>
      <c r="J156" s="71">
        <f t="shared" si="71"/>
        <v>46.34369565210348</v>
      </c>
      <c r="K156" s="71">
        <f t="shared" si="70"/>
        <v>50.18545319019432</v>
      </c>
      <c r="L156" s="71">
        <f t="shared" si="62"/>
        <v>1.7399199098638252</v>
      </c>
      <c r="M156" s="71">
        <f t="shared" si="72"/>
        <v>3.235690820800044</v>
      </c>
      <c r="N156" s="71">
        <f t="shared" si="64"/>
        <v>0.8848122620472225</v>
      </c>
      <c r="O156" s="71">
        <f t="shared" si="65"/>
        <v>73.41925240338804</v>
      </c>
      <c r="P156" s="71">
        <f t="shared" si="66"/>
        <v>0.29373635563886374</v>
      </c>
    </row>
    <row r="157" spans="2:16" s="69" customFormat="1" ht="13.5">
      <c r="B157" s="71">
        <f t="shared" si="67"/>
        <v>43.26329716374453</v>
      </c>
      <c r="C157" s="69">
        <f t="shared" si="73"/>
        <v>54.001000000000005</v>
      </c>
      <c r="D157" s="69">
        <f>D126</f>
        <v>67</v>
      </c>
      <c r="E157" s="71">
        <f t="shared" si="55"/>
        <v>0.9424952493694579</v>
      </c>
      <c r="F157" s="71">
        <f t="shared" si="56"/>
        <v>1.1693705988362006</v>
      </c>
      <c r="G157" s="71">
        <f t="shared" si="57"/>
        <v>109.97633862317572</v>
      </c>
      <c r="H157" s="71">
        <f t="shared" si="58"/>
        <v>44.602388153158174</v>
      </c>
      <c r="I157" s="71">
        <f t="shared" si="69"/>
        <v>64.25487530372895</v>
      </c>
      <c r="J157" s="71">
        <f t="shared" si="71"/>
        <v>44.602388153158174</v>
      </c>
      <c r="K157" s="71">
        <f t="shared" si="70"/>
        <v>48.95319221244529</v>
      </c>
      <c r="L157" s="71">
        <f t="shared" si="62"/>
        <v>1.7573732023837683</v>
      </c>
      <c r="M157" s="71">
        <f t="shared" si="72"/>
        <v>3.2458580998131934</v>
      </c>
      <c r="N157" s="71">
        <f t="shared" si="64"/>
        <v>0.8329684582310031</v>
      </c>
      <c r="O157" s="71">
        <f t="shared" si="65"/>
        <v>71.8880312045884</v>
      </c>
      <c r="P157" s="71">
        <f t="shared" si="66"/>
        <v>0.28786826858504216</v>
      </c>
    </row>
    <row r="158" spans="2:16" s="69" customFormat="1" ht="13.5">
      <c r="B158" s="71">
        <f t="shared" si="67"/>
        <v>43.34413346022417</v>
      </c>
      <c r="C158" s="69">
        <f t="shared" si="73"/>
        <v>54.001000000000005</v>
      </c>
      <c r="D158" s="69">
        <f aca="true" t="shared" si="74" ref="D158:D211">D127</f>
        <v>68</v>
      </c>
      <c r="E158" s="71">
        <f t="shared" si="55"/>
        <v>0.9424952493694579</v>
      </c>
      <c r="F158" s="71">
        <f t="shared" si="56"/>
        <v>1.1868238913561442</v>
      </c>
      <c r="G158" s="71">
        <f t="shared" si="57"/>
        <v>109.97633862317572</v>
      </c>
      <c r="H158" s="71">
        <f t="shared" si="58"/>
        <v>42.84956737955771</v>
      </c>
      <c r="I158" s="71">
        <f t="shared" si="69"/>
        <v>61.15946993579685</v>
      </c>
      <c r="J158" s="71">
        <f t="shared" si="71"/>
        <v>42.84956737955771</v>
      </c>
      <c r="K158" s="71">
        <f t="shared" si="70"/>
        <v>47.739057158962424</v>
      </c>
      <c r="L158" s="71">
        <f t="shared" si="62"/>
        <v>1.7748264949037118</v>
      </c>
      <c r="M158" s="71">
        <f t="shared" si="72"/>
        <v>3.2570847429771757</v>
      </c>
      <c r="N158" s="71">
        <f t="shared" si="64"/>
        <v>0.7807818706428962</v>
      </c>
      <c r="O158" s="71">
        <f t="shared" si="65"/>
        <v>70.40254295154166</v>
      </c>
      <c r="P158" s="71">
        <f t="shared" si="66"/>
        <v>0.28350395126481365</v>
      </c>
    </row>
    <row r="159" spans="2:16" s="69" customFormat="1" ht="13.5">
      <c r="B159" s="71">
        <f>O159*SIN(F159-F$4)</f>
        <v>43.397823573299426</v>
      </c>
      <c r="C159" s="69">
        <f t="shared" si="73"/>
        <v>54.001000000000005</v>
      </c>
      <c r="D159" s="69">
        <f t="shared" si="74"/>
        <v>69</v>
      </c>
      <c r="E159" s="71">
        <f t="shared" si="55"/>
        <v>0.9424952493694579</v>
      </c>
      <c r="F159" s="71">
        <f t="shared" si="56"/>
        <v>1.2042771838760873</v>
      </c>
      <c r="G159" s="71">
        <f t="shared" si="57"/>
        <v>109.97633862317572</v>
      </c>
      <c r="H159" s="71">
        <f t="shared" si="58"/>
        <v>41.08403968726031</v>
      </c>
      <c r="I159" s="71">
        <f t="shared" si="69"/>
        <v>58.107418303486085</v>
      </c>
      <c r="J159" s="71">
        <f t="shared" si="71"/>
        <v>41.08403968726031</v>
      </c>
      <c r="K159" s="71">
        <f t="shared" si="70"/>
        <v>46.54192708022782</v>
      </c>
      <c r="L159" s="71">
        <f t="shared" si="62"/>
        <v>1.792279787423655</v>
      </c>
      <c r="M159" s="71">
        <f t="shared" si="72"/>
        <v>3.2693886601519666</v>
      </c>
      <c r="N159" s="71">
        <f t="shared" si="64"/>
        <v>0.7282169610177962</v>
      </c>
      <c r="O159" s="71">
        <f t="shared" si="65"/>
        <v>68.95982426519316</v>
      </c>
      <c r="P159" s="71">
        <f t="shared" si="66"/>
        <v>0.28060809976664125</v>
      </c>
    </row>
    <row r="160" spans="2:16" s="69" customFormat="1" ht="13.5">
      <c r="B160" s="71">
        <f aca="true" t="shared" si="75" ref="B160:B178">O160*SIN(F160-F$4)</f>
        <v>43.42484046005574</v>
      </c>
      <c r="C160" s="69">
        <f t="shared" si="73"/>
        <v>54.001000000000005</v>
      </c>
      <c r="D160" s="69">
        <f t="shared" si="74"/>
        <v>70</v>
      </c>
      <c r="E160" s="71">
        <f t="shared" si="55"/>
        <v>0.9424952493694579</v>
      </c>
      <c r="F160" s="71">
        <f t="shared" si="56"/>
        <v>1.2217304763960306</v>
      </c>
      <c r="G160" s="71">
        <f t="shared" si="57"/>
        <v>109.97633862317572</v>
      </c>
      <c r="H160" s="71">
        <f t="shared" si="58"/>
        <v>39.30457845389725</v>
      </c>
      <c r="I160" s="71">
        <f t="shared" si="69"/>
        <v>55.09599421204639</v>
      </c>
      <c r="J160" s="71">
        <f t="shared" si="71"/>
        <v>39.30457845389725</v>
      </c>
      <c r="K160" s="71">
        <f t="shared" si="70"/>
        <v>45.360732659555765</v>
      </c>
      <c r="L160" s="71">
        <f t="shared" si="62"/>
        <v>1.809733079943598</v>
      </c>
      <c r="M160" s="71">
        <f t="shared" si="72"/>
        <v>3.2827896493451227</v>
      </c>
      <c r="N160" s="71">
        <f t="shared" si="64"/>
        <v>0.6752372092296027</v>
      </c>
      <c r="O160" s="71">
        <f t="shared" si="65"/>
        <v>67.5570589813208</v>
      </c>
      <c r="P160" s="71">
        <f t="shared" si="66"/>
        <v>0.2791517853702563</v>
      </c>
    </row>
    <row r="161" spans="2:16" s="69" customFormat="1" ht="13.5">
      <c r="B161" s="71">
        <f t="shared" si="75"/>
        <v>43.425572760250205</v>
      </c>
      <c r="C161" s="69">
        <f t="shared" si="73"/>
        <v>54.001000000000005</v>
      </c>
      <c r="D161" s="69">
        <f t="shared" si="74"/>
        <v>71</v>
      </c>
      <c r="E161" s="71">
        <f t="shared" si="55"/>
        <v>0.9424952493694579</v>
      </c>
      <c r="F161" s="71">
        <f t="shared" si="56"/>
        <v>1.239183768915974</v>
      </c>
      <c r="G161" s="71">
        <f t="shared" si="57"/>
        <v>109.97633862317572</v>
      </c>
      <c r="H161" s="71">
        <f t="shared" si="58"/>
        <v>37.50992049257642</v>
      </c>
      <c r="I161" s="71">
        <f t="shared" si="69"/>
        <v>52.12259246172309</v>
      </c>
      <c r="J161" s="71">
        <f t="shared" si="71"/>
        <v>37.50992049257642</v>
      </c>
      <c r="K161" s="71">
        <f t="shared" si="70"/>
        <v>44.19445203907388</v>
      </c>
      <c r="L161" s="71">
        <f t="shared" si="62"/>
        <v>1.8271863724635415</v>
      </c>
      <c r="M161" s="71">
        <f t="shared" si="72"/>
        <v>3.297309476365921</v>
      </c>
      <c r="N161" s="71">
        <f t="shared" si="64"/>
        <v>0.6218050065196917</v>
      </c>
      <c r="O161" s="71">
        <f t="shared" si="65"/>
        <v>66.1915633217793</v>
      </c>
      <c r="P161" s="71">
        <f t="shared" si="66"/>
        <v>0.2791123198410612</v>
      </c>
    </row>
    <row r="162" spans="2:16" s="69" customFormat="1" ht="13.5">
      <c r="B162" s="71">
        <f t="shared" si="75"/>
        <v>43.400327792992705</v>
      </c>
      <c r="C162" s="69">
        <f t="shared" si="73"/>
        <v>54.001000000000005</v>
      </c>
      <c r="D162" s="69">
        <f t="shared" si="74"/>
        <v>72</v>
      </c>
      <c r="E162" s="71">
        <f t="shared" si="55"/>
        <v>0.9424952493694579</v>
      </c>
      <c r="F162" s="71">
        <f t="shared" si="56"/>
        <v>1.2566370614359172</v>
      </c>
      <c r="G162" s="71">
        <f t="shared" si="57"/>
        <v>109.97633862317572</v>
      </c>
      <c r="H162" s="71">
        <f t="shared" si="58"/>
        <v>35.698762256707205</v>
      </c>
      <c r="I162" s="71">
        <f t="shared" si="69"/>
        <v>49.18471901725621</v>
      </c>
      <c r="J162" s="71">
        <f t="shared" si="71"/>
        <v>35.698762256707205</v>
      </c>
      <c r="K162" s="71">
        <f t="shared" si="70"/>
        <v>43.042106963828815</v>
      </c>
      <c r="L162" s="71">
        <f t="shared" si="62"/>
        <v>1.8446396649834846</v>
      </c>
      <c r="M162" s="71">
        <f t="shared" si="72"/>
        <v>3.3129719635610875</v>
      </c>
      <c r="N162" s="71">
        <f t="shared" si="64"/>
        <v>0.5678815425034818</v>
      </c>
      <c r="O162" s="71">
        <f t="shared" si="65"/>
        <v>64.86077214306482</v>
      </c>
      <c r="P162" s="71">
        <f t="shared" si="66"/>
        <v>0.2804730877436974</v>
      </c>
    </row>
    <row r="163" spans="2:16" s="69" customFormat="1" ht="13.5">
      <c r="B163" s="71">
        <f t="shared" si="75"/>
        <v>43.34933397622654</v>
      </c>
      <c r="C163" s="69">
        <f t="shared" si="73"/>
        <v>54.001000000000005</v>
      </c>
      <c r="D163" s="69">
        <f t="shared" si="74"/>
        <v>73</v>
      </c>
      <c r="E163" s="71">
        <f t="shared" si="55"/>
        <v>0.9424952493694579</v>
      </c>
      <c r="F163" s="71">
        <f t="shared" si="56"/>
        <v>1.2740903539558606</v>
      </c>
      <c r="G163" s="71">
        <f t="shared" si="57"/>
        <v>109.97633862317572</v>
      </c>
      <c r="H163" s="71">
        <f t="shared" si="58"/>
        <v>33.86975581055276</v>
      </c>
      <c r="I163" s="71">
        <f t="shared" si="69"/>
        <v>46.27998190580472</v>
      </c>
      <c r="J163" s="71">
        <f t="shared" si="71"/>
        <v>33.86975581055276</v>
      </c>
      <c r="K163" s="71">
        <f t="shared" si="70"/>
        <v>41.90275921160796</v>
      </c>
      <c r="L163" s="71">
        <f t="shared" si="62"/>
        <v>1.8620929575034282</v>
      </c>
      <c r="M163" s="71">
        <f t="shared" si="72"/>
        <v>3.3298030883232532</v>
      </c>
      <c r="N163" s="71">
        <f t="shared" si="64"/>
        <v>0.5134266852020202</v>
      </c>
      <c r="O163" s="71">
        <f t="shared" si="65"/>
        <v>63.56222612068158</v>
      </c>
      <c r="P163" s="71">
        <f t="shared" si="66"/>
        <v>0.2832233533972823</v>
      </c>
    </row>
    <row r="164" spans="2:16" s="69" customFormat="1" ht="13.5">
      <c r="B164" s="71">
        <f t="shared" si="75"/>
        <v>43.272742700001594</v>
      </c>
      <c r="C164" s="69">
        <f t="shared" si="73"/>
        <v>54.001000000000005</v>
      </c>
      <c r="D164" s="69">
        <f t="shared" si="74"/>
        <v>74</v>
      </c>
      <c r="E164" s="71">
        <f t="shared" si="55"/>
        <v>0.9424952493694579</v>
      </c>
      <c r="F164" s="71">
        <f t="shared" si="56"/>
        <v>1.2915436464758039</v>
      </c>
      <c r="G164" s="71">
        <f t="shared" si="57"/>
        <v>109.97633862317572</v>
      </c>
      <c r="H164" s="71">
        <f t="shared" si="58"/>
        <v>32.02150453781869</v>
      </c>
      <c r="I164" s="71">
        <f t="shared" si="69"/>
        <v>43.40608276923955</v>
      </c>
      <c r="J164" s="71">
        <f t="shared" si="71"/>
        <v>32.02150453781869</v>
      </c>
      <c r="K164" s="71">
        <f t="shared" si="70"/>
        <v>40.77550727942922</v>
      </c>
      <c r="L164" s="71">
        <f t="shared" si="62"/>
        <v>1.8795462500233713</v>
      </c>
      <c r="M164" s="71">
        <f t="shared" si="72"/>
        <v>3.347831092152982</v>
      </c>
      <c r="N164" s="71">
        <f t="shared" si="64"/>
        <v>0.4583988532741495</v>
      </c>
      <c r="O164" s="71">
        <f t="shared" si="65"/>
        <v>62.29355974132869</v>
      </c>
      <c r="P164" s="71">
        <f t="shared" si="66"/>
        <v>0.28735804573591606</v>
      </c>
    </row>
    <row r="165" spans="2:16" s="69" customFormat="1" ht="13.5">
      <c r="B165" s="71">
        <f t="shared" si="75"/>
        <v>43.17062967762983</v>
      </c>
      <c r="C165" s="69">
        <f t="shared" si="73"/>
        <v>54.001000000000005</v>
      </c>
      <c r="D165" s="69">
        <f t="shared" si="74"/>
        <v>75</v>
      </c>
      <c r="E165" s="71">
        <f t="shared" si="55"/>
        <v>0.9424952493694579</v>
      </c>
      <c r="F165" s="71">
        <f t="shared" si="56"/>
        <v>1.3089969389957472</v>
      </c>
      <c r="G165" s="71">
        <f t="shared" si="57"/>
        <v>109.97633862317572</v>
      </c>
      <c r="H165" s="71">
        <f t="shared" si="58"/>
        <v>30.152558557855457</v>
      </c>
      <c r="I165" s="71">
        <f t="shared" si="69"/>
        <v>40.560809004261195</v>
      </c>
      <c r="J165" s="71">
        <f t="shared" si="71"/>
        <v>30.152558557855457</v>
      </c>
      <c r="K165" s="71">
        <f t="shared" si="70"/>
        <v>39.65948330059791</v>
      </c>
      <c r="L165" s="71">
        <f t="shared" si="62"/>
        <v>1.8969995425433148</v>
      </c>
      <c r="M165" s="71">
        <f t="shared" si="72"/>
        <v>3.3670866011551928</v>
      </c>
      <c r="N165" s="71">
        <f t="shared" si="64"/>
        <v>0.4027548795434824</v>
      </c>
      <c r="O165" s="71">
        <f t="shared" si="65"/>
        <v>61.052489986290546</v>
      </c>
      <c r="P165" s="71">
        <f t="shared" si="66"/>
        <v>0.292877520516812</v>
      </c>
    </row>
    <row r="166" spans="2:16" s="69" customFormat="1" ht="13.5">
      <c r="B166" s="71">
        <f t="shared" si="75"/>
        <v>43.04299579238508</v>
      </c>
      <c r="C166" s="69">
        <f t="shared" si="73"/>
        <v>54.001000000000005</v>
      </c>
      <c r="D166" s="69">
        <f t="shared" si="74"/>
        <v>76</v>
      </c>
      <c r="E166" s="71">
        <f>C166*PI()/180</f>
        <v>0.9424952493694579</v>
      </c>
      <c r="F166" s="71">
        <f>D166*PI()/180</f>
        <v>1.3264502315156903</v>
      </c>
      <c r="G166" s="71">
        <f>(0.5*$D$3*$D$9+$D$5)*$D$9/TAN(E166)</f>
        <v>109.97633862317572</v>
      </c>
      <c r="H166" s="71">
        <f>IF(D166&gt;$F$17,I166,IF(D166&lt;$F$16,K166,J166))</f>
        <v>28.2614098159386</v>
      </c>
      <c r="I166" s="71">
        <f t="shared" si="69"/>
        <v>37.7420264303865</v>
      </c>
      <c r="J166" s="71">
        <f t="shared" si="71"/>
        <v>28.2614098159386</v>
      </c>
      <c r="K166" s="71">
        <f t="shared" si="70"/>
        <v>38.55385016881386</v>
      </c>
      <c r="L166" s="71">
        <f>F166+D$14</f>
        <v>1.914452835063258</v>
      </c>
      <c r="M166" s="71">
        <f>J$18/SIN(L166)*SIN(J$19)</f>
        <v>3.3876027589624966</v>
      </c>
      <c r="N166" s="71">
        <f>M166*SIN(D$17-F166)</f>
        <v>0.34644986482172163</v>
      </c>
      <c r="O166" s="71">
        <f>SIN(E166-F$4)/SIN(E166+F166-2*F$4)*(G166+H166)</f>
        <v>59.836805598857836</v>
      </c>
      <c r="P166" s="71">
        <f>ATAN((O166*COS(F166-F$4)-H166)/(O166*SIN(F166-F$4)))</f>
        <v>0.2997872958715733</v>
      </c>
    </row>
    <row r="167" spans="2:16" s="69" customFormat="1" ht="13.5">
      <c r="B167" s="71">
        <f t="shared" si="75"/>
        <v>42.88976745132999</v>
      </c>
      <c r="C167" s="69">
        <f t="shared" si="73"/>
        <v>54.001000000000005</v>
      </c>
      <c r="D167" s="69">
        <f t="shared" si="74"/>
        <v>77</v>
      </c>
      <c r="E167" s="71">
        <f aca="true" t="shared" si="76" ref="E167:E176">C167*PI()/180</f>
        <v>0.9424952493694579</v>
      </c>
      <c r="F167" s="71">
        <f aca="true" t="shared" si="77" ref="F167:F176">D167*PI()/180</f>
        <v>1.3439035240356338</v>
      </c>
      <c r="G167" s="71">
        <f aca="true" t="shared" si="78" ref="G167:G176">(0.5*$D$3*$D$9+$D$5)*$D$9/TAN(E167)</f>
        <v>109.97633862317572</v>
      </c>
      <c r="H167" s="71">
        <f aca="true" t="shared" si="79" ref="H167:H176">IF(D167&gt;$F$17,I167,IF(D167&lt;$F$16,K167,J167))</f>
        <v>26.34648681054474</v>
      </c>
      <c r="I167" s="71">
        <f aca="true" t="shared" si="80" ref="I167:I176">(0.5*$D$3*$D$9+$D$6)*$D$9/TAN(F167)</f>
        <v>34.9476724316321</v>
      </c>
      <c r="J167" s="71">
        <f aca="true" t="shared" si="81" ref="J167:J176">0.5*$J$18*N167*$D$3+$G$18</f>
        <v>26.34648681054474</v>
      </c>
      <c r="K167" s="71">
        <f aca="true" t="shared" si="82" ref="K167:K176">0.5*$D$3*$D$8^2*(1/TAN(F167)-1/TAN($D$16))+$G$19</f>
        <v>37.4577988480803</v>
      </c>
      <c r="L167" s="71">
        <f aca="true" t="shared" si="83" ref="L167:L176">F167+D$14</f>
        <v>1.9319061275832015</v>
      </c>
      <c r="M167" s="71">
        <f aca="true" t="shared" si="84" ref="M167:M176">J$18/SIN(L167)*SIN(J$19)</f>
        <v>3.409415373203253</v>
      </c>
      <c r="N167" s="71">
        <f aca="true" t="shared" si="85" ref="N167:N176">M167*SIN(D$17-F167)</f>
        <v>0.2894370209242849</v>
      </c>
      <c r="O167" s="71">
        <f aca="true" t="shared" si="86" ref="O167:O176">SIN(E167-F$4)/SIN(E167+F167-2*F$4)*(G167+H167)</f>
        <v>58.64435683633619</v>
      </c>
      <c r="P167" s="71">
        <f aca="true" t="shared" si="87" ref="P167:P176">ATAN((O167*COS(F167-F$4)-H167)/(O167*SIN(F167-F$4)))</f>
        <v>0.30809775399119455</v>
      </c>
    </row>
    <row r="168" spans="2:16" s="69" customFormat="1" ht="13.5">
      <c r="B168" s="71">
        <f t="shared" si="75"/>
        <v>42.71079645200853</v>
      </c>
      <c r="C168" s="69">
        <f t="shared" si="73"/>
        <v>54.001000000000005</v>
      </c>
      <c r="D168" s="69">
        <f t="shared" si="74"/>
        <v>78</v>
      </c>
      <c r="E168" s="71">
        <f t="shared" si="76"/>
        <v>0.9424952493694579</v>
      </c>
      <c r="F168" s="71">
        <f t="shared" si="77"/>
        <v>1.361356816555577</v>
      </c>
      <c r="G168" s="71">
        <f t="shared" si="78"/>
        <v>109.97633862317572</v>
      </c>
      <c r="H168" s="71">
        <f t="shared" si="79"/>
        <v>24.40614891650218</v>
      </c>
      <c r="I168" s="71">
        <f t="shared" si="80"/>
        <v>32.17574952279962</v>
      </c>
      <c r="J168" s="71">
        <f t="shared" si="81"/>
        <v>24.40614891650218</v>
      </c>
      <c r="K168" s="71">
        <f t="shared" si="82"/>
        <v>36.370545849157565</v>
      </c>
      <c r="L168" s="71">
        <f t="shared" si="83"/>
        <v>1.9493594201031446</v>
      </c>
      <c r="M168" s="71">
        <f t="shared" si="84"/>
        <v>3.4325630767730444</v>
      </c>
      <c r="N168" s="71">
        <f t="shared" si="85"/>
        <v>0.23166750165393885</v>
      </c>
      <c r="O168" s="71">
        <f t="shared" si="86"/>
        <v>57.47304561337857</v>
      </c>
      <c r="P168" s="71">
        <f t="shared" si="87"/>
        <v>0.31782379867596083</v>
      </c>
    </row>
    <row r="169" spans="2:16" s="69" customFormat="1" ht="13.5">
      <c r="B169" s="71">
        <f t="shared" si="75"/>
        <v>42.50585936201723</v>
      </c>
      <c r="C169" s="69">
        <f t="shared" si="73"/>
        <v>54.001000000000005</v>
      </c>
      <c r="D169" s="69">
        <f t="shared" si="74"/>
        <v>79</v>
      </c>
      <c r="E169" s="71">
        <f t="shared" si="76"/>
        <v>0.9424952493694579</v>
      </c>
      <c r="F169" s="71">
        <f t="shared" si="77"/>
        <v>1.3788101090755203</v>
      </c>
      <c r="G169" s="71">
        <f t="shared" si="78"/>
        <v>109.97633862317572</v>
      </c>
      <c r="H169" s="71">
        <f t="shared" si="79"/>
        <v>22.438680258289008</v>
      </c>
      <c r="I169" s="71">
        <f t="shared" si="80"/>
        <v>29.424319295722153</v>
      </c>
      <c r="J169" s="71">
        <f t="shared" si="81"/>
        <v>22.438680258289008</v>
      </c>
      <c r="K169" s="71">
        <f t="shared" si="82"/>
        <v>35.29133085505204</v>
      </c>
      <c r="L169" s="71">
        <f t="shared" si="83"/>
        <v>1.9668127126230877</v>
      </c>
      <c r="M169" s="71">
        <f t="shared" si="84"/>
        <v>3.4570875053272205</v>
      </c>
      <c r="N169" s="71">
        <f t="shared" si="85"/>
        <v>0.17309022039101127</v>
      </c>
      <c r="O169" s="71">
        <f t="shared" si="86"/>
        <v>56.320815948130054</v>
      </c>
      <c r="P169" s="71">
        <f t="shared" si="87"/>
        <v>0.32898445551409505</v>
      </c>
    </row>
    <row r="170" spans="2:16" s="69" customFormat="1" ht="13.5">
      <c r="B170" s="71">
        <f t="shared" si="75"/>
        <v>42.27465640576162</v>
      </c>
      <c r="C170" s="69">
        <f t="shared" si="73"/>
        <v>54.001000000000005</v>
      </c>
      <c r="D170" s="69">
        <f t="shared" si="74"/>
        <v>80</v>
      </c>
      <c r="E170" s="71">
        <f t="shared" si="76"/>
        <v>0.9424952493694579</v>
      </c>
      <c r="F170" s="71">
        <f t="shared" si="77"/>
        <v>1.3962634015954636</v>
      </c>
      <c r="G170" s="71">
        <f t="shared" si="78"/>
        <v>109.97633862317572</v>
      </c>
      <c r="H170" s="71">
        <f t="shared" si="79"/>
        <v>20.442283082501756</v>
      </c>
      <c r="I170" s="71">
        <f t="shared" si="80"/>
        <v>26.691496704743898</v>
      </c>
      <c r="J170" s="71">
        <f t="shared" si="81"/>
        <v>20.442283082501756</v>
      </c>
      <c r="K170" s="71">
        <f t="shared" si="82"/>
        <v>34.21941447956511</v>
      </c>
      <c r="L170" s="71">
        <f t="shared" si="83"/>
        <v>1.9842660051430312</v>
      </c>
      <c r="M170" s="71">
        <f t="shared" si="84"/>
        <v>3.483033492591896</v>
      </c>
      <c r="N170" s="71">
        <f t="shared" si="85"/>
        <v>0.1136516527724497</v>
      </c>
      <c r="O170" s="71">
        <f t="shared" si="86"/>
        <v>55.18564462609872</v>
      </c>
      <c r="P170" s="71">
        <f t="shared" si="87"/>
        <v>0.3416023985763944</v>
      </c>
    </row>
    <row r="171" spans="2:16" s="69" customFormat="1" ht="13.5">
      <c r="B171" s="71">
        <f t="shared" si="75"/>
        <v>42.016809846904984</v>
      </c>
      <c r="C171" s="69">
        <f t="shared" si="73"/>
        <v>54.001000000000005</v>
      </c>
      <c r="D171" s="69">
        <f t="shared" si="74"/>
        <v>81</v>
      </c>
      <c r="E171" s="71">
        <f t="shared" si="76"/>
        <v>0.9424952493694579</v>
      </c>
      <c r="F171" s="71">
        <f t="shared" si="77"/>
        <v>1.413716694115407</v>
      </c>
      <c r="G171" s="71">
        <f t="shared" si="78"/>
        <v>109.97633862317572</v>
      </c>
      <c r="H171" s="71">
        <f t="shared" si="79"/>
        <v>18.415070572518374</v>
      </c>
      <c r="I171" s="71">
        <f t="shared" si="80"/>
        <v>23.97544465412669</v>
      </c>
      <c r="J171" s="71">
        <f t="shared" si="81"/>
        <v>18.415070572518374</v>
      </c>
      <c r="K171" s="71">
        <f t="shared" si="82"/>
        <v>33.15407614426935</v>
      </c>
      <c r="L171" s="71">
        <f t="shared" si="83"/>
        <v>2.0017192976629743</v>
      </c>
      <c r="M171" s="71">
        <f t="shared" si="84"/>
        <v>3.510449285294637</v>
      </c>
      <c r="N171" s="71">
        <f t="shared" si="85"/>
        <v>0.053295622763378</v>
      </c>
      <c r="O171" s="71">
        <f t="shared" si="86"/>
        <v>54.06553199881922</v>
      </c>
      <c r="P171" s="71">
        <f t="shared" si="87"/>
        <v>0.3557033847914719</v>
      </c>
    </row>
    <row r="172" spans="2:16" s="69" customFormat="1" ht="13.5">
      <c r="B172" s="71">
        <f t="shared" si="75"/>
        <v>43.35688904924903</v>
      </c>
      <c r="C172" s="69">
        <f t="shared" si="73"/>
        <v>54.001000000000005</v>
      </c>
      <c r="D172" s="69">
        <f t="shared" si="74"/>
        <v>82</v>
      </c>
      <c r="E172" s="71">
        <f t="shared" si="76"/>
        <v>0.9424952493694579</v>
      </c>
      <c r="F172" s="71">
        <f t="shared" si="77"/>
        <v>1.43116998663535</v>
      </c>
      <c r="G172" s="71">
        <f t="shared" si="78"/>
        <v>109.97633862317572</v>
      </c>
      <c r="H172" s="71">
        <f t="shared" si="79"/>
        <v>21.274368853074545</v>
      </c>
      <c r="I172" s="71">
        <f t="shared" si="80"/>
        <v>21.274368853074545</v>
      </c>
      <c r="J172" s="71">
        <f t="shared" si="81"/>
        <v>16.355059041525283</v>
      </c>
      <c r="K172" s="71">
        <f t="shared" si="82"/>
        <v>32.09461206045451</v>
      </c>
      <c r="L172" s="71">
        <f t="shared" si="83"/>
        <v>2.0191725901829174</v>
      </c>
      <c r="M172" s="71">
        <f t="shared" si="84"/>
        <v>3.539386779747792</v>
      </c>
      <c r="N172" s="71">
        <f t="shared" si="85"/>
        <v>-0.008036929779261789</v>
      </c>
      <c r="O172" s="71">
        <f t="shared" si="86"/>
        <v>55.02068195237785</v>
      </c>
      <c r="P172" s="71">
        <f t="shared" si="87"/>
        <v>0.28281575188972824</v>
      </c>
    </row>
    <row r="173" spans="2:16" s="69" customFormat="1" ht="13.5">
      <c r="B173" s="71">
        <f t="shared" si="75"/>
        <v>42.86163706353319</v>
      </c>
      <c r="C173" s="69">
        <f t="shared" si="73"/>
        <v>54.001000000000005</v>
      </c>
      <c r="D173" s="69">
        <f t="shared" si="74"/>
        <v>83</v>
      </c>
      <c r="E173" s="71">
        <f t="shared" si="76"/>
        <v>0.9424952493694579</v>
      </c>
      <c r="F173" s="71">
        <f t="shared" si="77"/>
        <v>1.4486232791552935</v>
      </c>
      <c r="G173" s="71">
        <f t="shared" si="78"/>
        <v>109.97633862317572</v>
      </c>
      <c r="H173" s="71">
        <f t="shared" si="79"/>
        <v>18.586512906677186</v>
      </c>
      <c r="I173" s="71">
        <f t="shared" si="80"/>
        <v>18.586512906677186</v>
      </c>
      <c r="J173" s="71">
        <f t="shared" si="81"/>
        <v>14.26015943222883</v>
      </c>
      <c r="K173" s="71">
        <f t="shared" si="82"/>
        <v>31.040333303609955</v>
      </c>
      <c r="L173" s="71">
        <f t="shared" si="83"/>
        <v>2.036625882702861</v>
      </c>
      <c r="M173" s="71">
        <f t="shared" si="84"/>
        <v>3.569901782381449</v>
      </c>
      <c r="N173" s="71">
        <f t="shared" si="85"/>
        <v>-0.0704082021850964</v>
      </c>
      <c r="O173" s="71">
        <f t="shared" si="86"/>
        <v>53.6685841342004</v>
      </c>
      <c r="P173" s="71">
        <f t="shared" si="87"/>
        <v>0.30962513283342286</v>
      </c>
    </row>
    <row r="174" spans="2:16" s="69" customFormat="1" ht="13.5">
      <c r="B174" s="71">
        <f t="shared" si="75"/>
        <v>42.35074905053766</v>
      </c>
      <c r="C174" s="69">
        <f t="shared" si="73"/>
        <v>54.001000000000005</v>
      </c>
      <c r="D174" s="69">
        <f t="shared" si="74"/>
        <v>84</v>
      </c>
      <c r="E174" s="71">
        <f t="shared" si="76"/>
        <v>0.9424952493694579</v>
      </c>
      <c r="F174" s="71">
        <f t="shared" si="77"/>
        <v>1.4660765716752369</v>
      </c>
      <c r="G174" s="71">
        <f t="shared" si="78"/>
        <v>109.97633862317572</v>
      </c>
      <c r="H174" s="71">
        <f t="shared" si="79"/>
        <v>15.910153613341771</v>
      </c>
      <c r="I174" s="71">
        <f t="shared" si="80"/>
        <v>15.910153613341771</v>
      </c>
      <c r="J174" s="71">
        <f t="shared" si="81"/>
        <v>12.128168042573405</v>
      </c>
      <c r="K174" s="71">
        <f t="shared" si="82"/>
        <v>29.990563968899536</v>
      </c>
      <c r="L174" s="71">
        <f t="shared" si="83"/>
        <v>2.0540791752228045</v>
      </c>
      <c r="M174" s="71">
        <f t="shared" si="84"/>
        <v>3.602054296824678</v>
      </c>
      <c r="N174" s="71">
        <f t="shared" si="85"/>
        <v>-0.1338838050927462</v>
      </c>
      <c r="O174" s="71">
        <f t="shared" si="86"/>
        <v>52.34840472449922</v>
      </c>
      <c r="P174" s="71">
        <f t="shared" si="87"/>
        <v>0.33744670758427714</v>
      </c>
    </row>
    <row r="175" spans="2:16" s="69" customFormat="1" ht="13.5">
      <c r="B175" s="71">
        <f t="shared" si="75"/>
        <v>41.824212208740306</v>
      </c>
      <c r="C175" s="69">
        <f t="shared" si="73"/>
        <v>54.001000000000005</v>
      </c>
      <c r="D175" s="69">
        <f t="shared" si="74"/>
        <v>85</v>
      </c>
      <c r="E175" s="71">
        <f t="shared" si="76"/>
        <v>0.9424952493694579</v>
      </c>
      <c r="F175" s="71">
        <f t="shared" si="77"/>
        <v>1.4835298641951802</v>
      </c>
      <c r="G175" s="71">
        <f t="shared" si="78"/>
        <v>109.97633862317572</v>
      </c>
      <c r="H175" s="71">
        <f t="shared" si="79"/>
        <v>13.24359644123674</v>
      </c>
      <c r="I175" s="71">
        <f t="shared" si="80"/>
        <v>13.24359644123674</v>
      </c>
      <c r="J175" s="71">
        <f t="shared" si="81"/>
        <v>9.956756386451493</v>
      </c>
      <c r="K175" s="71">
        <f t="shared" si="82"/>
        <v>28.944639396851734</v>
      </c>
      <c r="L175" s="71">
        <f t="shared" si="83"/>
        <v>2.0715324677427476</v>
      </c>
      <c r="M175" s="71">
        <f t="shared" si="84"/>
        <v>3.6359088404790922</v>
      </c>
      <c r="N175" s="71">
        <f t="shared" si="85"/>
        <v>-0.1985330643260647</v>
      </c>
      <c r="O175" s="71">
        <f t="shared" si="86"/>
        <v>51.057935459396816</v>
      </c>
      <c r="P175" s="71">
        <f t="shared" si="87"/>
        <v>0.3662528224723617</v>
      </c>
    </row>
    <row r="176" spans="2:16" s="69" customFormat="1" ht="13.5">
      <c r="B176" s="71">
        <f t="shared" si="75"/>
        <v>41.28197060437035</v>
      </c>
      <c r="C176" s="69">
        <f t="shared" si="73"/>
        <v>54.001000000000005</v>
      </c>
      <c r="D176" s="69">
        <f t="shared" si="74"/>
        <v>86</v>
      </c>
      <c r="E176" s="71">
        <f t="shared" si="76"/>
        <v>0.9424952493694579</v>
      </c>
      <c r="F176" s="71">
        <f t="shared" si="77"/>
        <v>1.5009831567151233</v>
      </c>
      <c r="G176" s="71">
        <f t="shared" si="78"/>
        <v>109.97633862317572</v>
      </c>
      <c r="H176" s="71">
        <f t="shared" si="79"/>
        <v>10.585171157948913</v>
      </c>
      <c r="I176" s="71">
        <f t="shared" si="80"/>
        <v>10.585171157948913</v>
      </c>
      <c r="J176" s="71">
        <f t="shared" si="81"/>
        <v>7.743460086500027</v>
      </c>
      <c r="K176" s="71">
        <f t="shared" si="82"/>
        <v>27.90190445914594</v>
      </c>
      <c r="L176" s="71">
        <f t="shared" si="83"/>
        <v>2.0889857602626907</v>
      </c>
      <c r="M176" s="71">
        <f t="shared" si="84"/>
        <v>3.6715347939252476</v>
      </c>
      <c r="N176" s="71">
        <f t="shared" si="85"/>
        <v>-0.26442935158799213</v>
      </c>
      <c r="O176" s="71">
        <f t="shared" si="86"/>
        <v>49.795053892602134</v>
      </c>
      <c r="P176" s="71">
        <f t="shared" si="87"/>
        <v>0.3960092778963238</v>
      </c>
    </row>
    <row r="177" spans="2:16" s="69" customFormat="1" ht="13.5">
      <c r="B177" s="71">
        <f t="shared" si="75"/>
        <v>40.723926089184886</v>
      </c>
      <c r="C177" s="69">
        <f t="shared" si="73"/>
        <v>54.001000000000005</v>
      </c>
      <c r="D177" s="69">
        <f t="shared" si="74"/>
        <v>87</v>
      </c>
      <c r="E177" s="71">
        <f aca="true" t="shared" si="88" ref="E177:E211">C177*PI()/180</f>
        <v>0.9424952493694579</v>
      </c>
      <c r="F177" s="71">
        <f aca="true" t="shared" si="89" ref="F177:F211">D177*PI()/180</f>
        <v>1.5184364492350666</v>
      </c>
      <c r="G177" s="71">
        <f aca="true" t="shared" si="90" ref="G177:G211">(0.5*$D$3*$D$9+$D$5)*$D$9/TAN(E177)</f>
        <v>109.97633862317572</v>
      </c>
      <c r="H177" s="71">
        <f aca="true" t="shared" si="91" ref="H177:H211">IF(D177&gt;$F$17,I177,IF(D177&lt;$F$16,K177,J177))</f>
        <v>7.933227588970383</v>
      </c>
      <c r="I177" s="71">
        <f aca="true" t="shared" si="92" ref="I177:I211">(0.5*$D$3*$D$9+$D$6)*$D$9/TAN(F177)</f>
        <v>7.933227588970383</v>
      </c>
      <c r="J177" s="71">
        <f aca="true" t="shared" si="93" ref="J177:J211">0.5*$J$18*N177*$D$3+$G$18</f>
        <v>5.4856666823648865</v>
      </c>
      <c r="K177" s="71">
        <f aca="true" t="shared" si="94" ref="K177:K211">0.5*$D$3*$D$8^2*(1/TAN(F177)-1/TAN($D$16))+$G$19</f>
        <v>26.861711894930572</v>
      </c>
      <c r="L177" s="71">
        <f aca="true" t="shared" si="95" ref="L177:L211">F177+D$14</f>
        <v>2.106439052782634</v>
      </c>
      <c r="M177" s="71">
        <f aca="true" t="shared" si="96" ref="M177:M211">J$18/SIN(L177)*SIN(J$19)</f>
        <v>3.7090067869585464</v>
      </c>
      <c r="N177" s="71">
        <f aca="true" t="shared" si="97" ref="N177:N211">M177*SIN(D$17-F177)</f>
        <v>-0.3316504474440855</v>
      </c>
      <c r="O177" s="71">
        <f aca="true" t="shared" si="98" ref="O177:O211">SIN(E177-F$4)/SIN(E177+F177-2*F$4)*(G177+H177)</f>
        <v>48.55771460890824</v>
      </c>
      <c r="P177" s="71">
        <f aca="true" t="shared" si="99" ref="P177:P211">ATAN((O177*COS(F177-F$4)-H177)/(O177*SIN(F177-F$4)))</f>
        <v>0.42667478229204553</v>
      </c>
    </row>
    <row r="178" spans="2:16" s="69" customFormat="1" ht="13.5">
      <c r="B178" s="71">
        <f t="shared" si="75"/>
        <v>40.149938970346945</v>
      </c>
      <c r="C178" s="69">
        <f t="shared" si="73"/>
        <v>54.001000000000005</v>
      </c>
      <c r="D178" s="69">
        <f t="shared" si="74"/>
        <v>88</v>
      </c>
      <c r="E178" s="71">
        <f t="shared" si="88"/>
        <v>0.9424952493694579</v>
      </c>
      <c r="F178" s="71">
        <f t="shared" si="89"/>
        <v>1.53588974175501</v>
      </c>
      <c r="G178" s="71">
        <f t="shared" si="90"/>
        <v>109.97633862317572</v>
      </c>
      <c r="H178" s="71">
        <f t="shared" si="91"/>
        <v>5.286131481813329</v>
      </c>
      <c r="I178" s="71">
        <f t="shared" si="92"/>
        <v>5.286131481813329</v>
      </c>
      <c r="J178" s="71">
        <f t="shared" si="93"/>
        <v>3.180602221976846</v>
      </c>
      <c r="K178" s="71">
        <f t="shared" si="94"/>
        <v>25.823420688572526</v>
      </c>
      <c r="L178" s="71">
        <f t="shared" si="95"/>
        <v>2.1238923453025773</v>
      </c>
      <c r="M178" s="71">
        <f t="shared" si="96"/>
        <v>3.7484051255774977</v>
      </c>
      <c r="N178" s="71">
        <f t="shared" si="97"/>
        <v>-0.4002789405393484</v>
      </c>
      <c r="O178" s="71">
        <f t="shared" si="98"/>
        <v>47.343940930139325</v>
      </c>
      <c r="P178" s="71">
        <f t="shared" si="99"/>
        <v>0.458200538065214</v>
      </c>
    </row>
    <row r="179" spans="2:16" s="69" customFormat="1" ht="13.5">
      <c r="B179" s="71">
        <f aca="true" t="shared" si="100" ref="B179:B211">O179*SIN(F179-F$4)</f>
        <v>39.55982844283203</v>
      </c>
      <c r="C179" s="69">
        <f t="shared" si="73"/>
        <v>54.001000000000005</v>
      </c>
      <c r="D179" s="69">
        <f t="shared" si="74"/>
        <v>89</v>
      </c>
      <c r="E179" s="71">
        <f t="shared" si="88"/>
        <v>0.9424952493694579</v>
      </c>
      <c r="F179" s="71">
        <f t="shared" si="89"/>
        <v>1.5533430342749535</v>
      </c>
      <c r="G179" s="71">
        <f t="shared" si="90"/>
        <v>109.97633862317572</v>
      </c>
      <c r="H179" s="71">
        <f t="shared" si="91"/>
        <v>2.642260453508916</v>
      </c>
      <c r="I179" s="71">
        <f t="shared" si="92"/>
        <v>2.642260453508916</v>
      </c>
      <c r="J179" s="71">
        <f t="shared" si="93"/>
        <v>0.8253164850416557</v>
      </c>
      <c r="K179" s="71">
        <f t="shared" si="94"/>
        <v>24.78639448011291</v>
      </c>
      <c r="L179" s="71">
        <f t="shared" si="95"/>
        <v>2.141345637822521</v>
      </c>
      <c r="M179" s="71">
        <f t="shared" si="96"/>
        <v>3.7898162648555984</v>
      </c>
      <c r="N179" s="71">
        <f t="shared" si="97"/>
        <v>-0.47040266753803595</v>
      </c>
      <c r="O179" s="71">
        <f t="shared" si="98"/>
        <v>46.15181704951678</v>
      </c>
      <c r="P179" s="71">
        <f t="shared" si="99"/>
        <v>0.4905299913806672</v>
      </c>
    </row>
    <row r="180" spans="2:16" s="69" customFormat="1" ht="13.5">
      <c r="B180" s="71">
        <f t="shared" si="100"/>
        <v>38.95337279241336</v>
      </c>
      <c r="C180" s="69">
        <f t="shared" si="73"/>
        <v>54.001000000000005</v>
      </c>
      <c r="D180" s="69">
        <f t="shared" si="74"/>
        <v>90</v>
      </c>
      <c r="E180" s="71">
        <f t="shared" si="88"/>
        <v>0.9424952493694579</v>
      </c>
      <c r="F180" s="71">
        <f t="shared" si="89"/>
        <v>1.5707963267948966</v>
      </c>
      <c r="G180" s="71">
        <f t="shared" si="90"/>
        <v>109.97633862317572</v>
      </c>
      <c r="H180" s="71">
        <f t="shared" si="91"/>
        <v>9.272842368089618E-15</v>
      </c>
      <c r="I180" s="71">
        <f t="shared" si="92"/>
        <v>9.272842368089618E-15</v>
      </c>
      <c r="J180" s="71">
        <f t="shared" si="93"/>
        <v>-1.5833333333333073</v>
      </c>
      <c r="K180" s="71">
        <f t="shared" si="94"/>
        <v>23.750000000000007</v>
      </c>
      <c r="L180" s="71">
        <f t="shared" si="95"/>
        <v>2.158798930342464</v>
      </c>
      <c r="M180" s="71">
        <f t="shared" si="96"/>
        <v>3.8333333333333317</v>
      </c>
      <c r="N180" s="71">
        <f t="shared" si="97"/>
        <v>-0.5421151989096857</v>
      </c>
      <c r="O180" s="71">
        <f t="shared" si="98"/>
        <v>44.9794805350874</v>
      </c>
      <c r="P180" s="71">
        <f t="shared" si="99"/>
        <v>0.5235987755982986</v>
      </c>
    </row>
    <row r="181" spans="2:16" s="69" customFormat="1" ht="13.5">
      <c r="B181" s="71">
        <f t="shared" si="100"/>
        <v>41.5718324444326</v>
      </c>
      <c r="C181" s="69">
        <f>C180+J21</f>
        <v>60.001000000000005</v>
      </c>
      <c r="D181" s="69">
        <f t="shared" si="74"/>
        <v>60</v>
      </c>
      <c r="E181" s="71">
        <f t="shared" si="88"/>
        <v>1.0472150044891178</v>
      </c>
      <c r="F181" s="71">
        <f t="shared" si="89"/>
        <v>1.0471975511965976</v>
      </c>
      <c r="G181" s="71">
        <f t="shared" si="90"/>
        <v>87.39287437786855</v>
      </c>
      <c r="H181" s="71">
        <f t="shared" si="91"/>
        <v>56.61327536344993</v>
      </c>
      <c r="I181" s="71">
        <f t="shared" si="92"/>
        <v>87.39639699857963</v>
      </c>
      <c r="J181" s="71">
        <f t="shared" si="93"/>
        <v>56.61327536344993</v>
      </c>
      <c r="K181" s="71">
        <f t="shared" si="94"/>
        <v>58.03017223313404</v>
      </c>
      <c r="L181" s="71">
        <f t="shared" si="95"/>
        <v>1.6352001547441652</v>
      </c>
      <c r="M181" s="71">
        <f t="shared" si="96"/>
        <v>3.196152422706631</v>
      </c>
      <c r="N181" s="71">
        <f t="shared" si="97"/>
        <v>1.1905676074715958</v>
      </c>
      <c r="O181" s="71">
        <f t="shared" si="98"/>
        <v>83.14366488886522</v>
      </c>
      <c r="P181" s="71">
        <f t="shared" si="99"/>
        <v>0.35458455813834766</v>
      </c>
    </row>
    <row r="182" spans="2:16" s="69" customFormat="1" ht="13.5">
      <c r="B182" s="71">
        <f t="shared" si="100"/>
        <v>41.90205483051978</v>
      </c>
      <c r="C182" s="69">
        <f>C181</f>
        <v>60.001000000000005</v>
      </c>
      <c r="D182" s="69">
        <f t="shared" si="74"/>
        <v>61</v>
      </c>
      <c r="E182" s="71">
        <f t="shared" si="88"/>
        <v>1.0472150044891178</v>
      </c>
      <c r="F182" s="71">
        <f t="shared" si="89"/>
        <v>1.064650843716541</v>
      </c>
      <c r="G182" s="71">
        <f t="shared" si="90"/>
        <v>87.39287437786855</v>
      </c>
      <c r="H182" s="71">
        <f t="shared" si="91"/>
        <v>54.91741842603781</v>
      </c>
      <c r="I182" s="71">
        <f t="shared" si="92"/>
        <v>83.90853266366291</v>
      </c>
      <c r="J182" s="71">
        <f t="shared" si="93"/>
        <v>54.91741842603781</v>
      </c>
      <c r="K182" s="71">
        <f t="shared" si="94"/>
        <v>56.662099930008154</v>
      </c>
      <c r="L182" s="71">
        <f t="shared" si="95"/>
        <v>1.6526534472641083</v>
      </c>
      <c r="M182" s="71">
        <f t="shared" si="96"/>
        <v>3.200241894286732</v>
      </c>
      <c r="N182" s="71">
        <f t="shared" si="97"/>
        <v>1.1400769994561701</v>
      </c>
      <c r="O182" s="71">
        <f t="shared" si="98"/>
        <v>81.35719837380474</v>
      </c>
      <c r="P182" s="71">
        <f t="shared" si="99"/>
        <v>0.3399365698652165</v>
      </c>
    </row>
    <row r="183" spans="2:16" s="69" customFormat="1" ht="13.5">
      <c r="B183" s="71">
        <f t="shared" si="100"/>
        <v>42.19575571903397</v>
      </c>
      <c r="C183" s="69">
        <f aca="true" t="shared" si="101" ref="C183:C211">C182</f>
        <v>60.001000000000005</v>
      </c>
      <c r="D183" s="69">
        <f t="shared" si="74"/>
        <v>62</v>
      </c>
      <c r="E183" s="71">
        <f t="shared" si="88"/>
        <v>1.0472150044891178</v>
      </c>
      <c r="F183" s="71">
        <f t="shared" si="89"/>
        <v>1.0821041362364843</v>
      </c>
      <c r="G183" s="71">
        <f t="shared" si="90"/>
        <v>87.39287437786855</v>
      </c>
      <c r="H183" s="71">
        <f t="shared" si="91"/>
        <v>53.21669751699319</v>
      </c>
      <c r="I183" s="71">
        <f t="shared" si="92"/>
        <v>80.48751521775635</v>
      </c>
      <c r="J183" s="71">
        <f t="shared" si="93"/>
        <v>53.21669751699319</v>
      </c>
      <c r="K183" s="71">
        <f t="shared" si="94"/>
        <v>55.3202475049003</v>
      </c>
      <c r="L183" s="71">
        <f t="shared" si="95"/>
        <v>1.6701067397840519</v>
      </c>
      <c r="M183" s="71">
        <f t="shared" si="96"/>
        <v>3.205319466443784</v>
      </c>
      <c r="N183" s="71">
        <f t="shared" si="97"/>
        <v>1.0894415768165406</v>
      </c>
      <c r="O183" s="71">
        <f t="shared" si="98"/>
        <v>79.62676310719026</v>
      </c>
      <c r="P183" s="71">
        <f t="shared" si="99"/>
        <v>0.3269750441128731</v>
      </c>
    </row>
    <row r="184" spans="2:16" s="69" customFormat="1" ht="13.5">
      <c r="B184" s="71">
        <f t="shared" si="100"/>
        <v>42.45399282434358</v>
      </c>
      <c r="C184" s="69">
        <f t="shared" si="101"/>
        <v>60.001000000000005</v>
      </c>
      <c r="D184" s="69">
        <f t="shared" si="74"/>
        <v>63</v>
      </c>
      <c r="E184" s="71">
        <f t="shared" si="88"/>
        <v>1.0472150044891178</v>
      </c>
      <c r="F184" s="71">
        <f t="shared" si="89"/>
        <v>1.0995574287564276</v>
      </c>
      <c r="G184" s="71">
        <f t="shared" si="90"/>
        <v>87.39287437786855</v>
      </c>
      <c r="H184" s="71">
        <f t="shared" si="91"/>
        <v>51.51005054407396</v>
      </c>
      <c r="I184" s="71">
        <f t="shared" si="92"/>
        <v>77.12941491721917</v>
      </c>
      <c r="J184" s="71">
        <f t="shared" si="93"/>
        <v>51.51005054407396</v>
      </c>
      <c r="K184" s="71">
        <f t="shared" si="94"/>
        <v>54.00307356373172</v>
      </c>
      <c r="L184" s="71">
        <f t="shared" si="95"/>
        <v>1.687560032303995</v>
      </c>
      <c r="M184" s="71">
        <f t="shared" si="96"/>
        <v>3.2113929525108333</v>
      </c>
      <c r="N184" s="71">
        <f t="shared" si="97"/>
        <v>1.0386297179684278</v>
      </c>
      <c r="O184" s="71">
        <f t="shared" si="98"/>
        <v>77.94886171383628</v>
      </c>
      <c r="P184" s="71">
        <f t="shared" si="99"/>
        <v>0.3156334844446568</v>
      </c>
    </row>
    <row r="185" spans="2:16" s="69" customFormat="1" ht="13.5">
      <c r="B185" s="71">
        <f t="shared" si="100"/>
        <v>42.67770544584135</v>
      </c>
      <c r="C185" s="69">
        <f t="shared" si="101"/>
        <v>60.001000000000005</v>
      </c>
      <c r="D185" s="69">
        <f t="shared" si="74"/>
        <v>64</v>
      </c>
      <c r="E185" s="71">
        <f t="shared" si="88"/>
        <v>1.0472150044891178</v>
      </c>
      <c r="F185" s="71">
        <f t="shared" si="89"/>
        <v>1.117010721276371</v>
      </c>
      <c r="G185" s="71">
        <f t="shared" si="90"/>
        <v>87.39287437786855</v>
      </c>
      <c r="H185" s="71">
        <f t="shared" si="91"/>
        <v>49.7964007486329</v>
      </c>
      <c r="I185" s="71">
        <f t="shared" si="92"/>
        <v>73.83052059415728</v>
      </c>
      <c r="J185" s="71">
        <f t="shared" si="93"/>
        <v>49.7964007486329</v>
      </c>
      <c r="K185" s="71">
        <f t="shared" si="94"/>
        <v>52.70912244609802</v>
      </c>
      <c r="L185" s="71">
        <f t="shared" si="95"/>
        <v>1.7050133248239385</v>
      </c>
      <c r="M185" s="71">
        <f t="shared" si="96"/>
        <v>3.21847173736185</v>
      </c>
      <c r="N185" s="71">
        <f t="shared" si="97"/>
        <v>0.9876093646658881</v>
      </c>
      <c r="O185" s="71">
        <f t="shared" si="98"/>
        <v>76.32018428873704</v>
      </c>
      <c r="P185" s="71">
        <f t="shared" si="99"/>
        <v>0.30585179955996405</v>
      </c>
    </row>
    <row r="186" spans="2:16" s="69" customFormat="1" ht="13.5">
      <c r="B186" s="71">
        <f t="shared" si="100"/>
        <v>42.86772096361153</v>
      </c>
      <c r="C186" s="69">
        <f t="shared" si="101"/>
        <v>60.001000000000005</v>
      </c>
      <c r="D186" s="69">
        <f t="shared" si="74"/>
        <v>65</v>
      </c>
      <c r="E186" s="71">
        <f t="shared" si="88"/>
        <v>1.0472150044891178</v>
      </c>
      <c r="F186" s="71">
        <f t="shared" si="89"/>
        <v>1.1344640137963142</v>
      </c>
      <c r="G186" s="71">
        <f t="shared" si="90"/>
        <v>87.39287437786855</v>
      </c>
      <c r="H186" s="71">
        <f t="shared" si="91"/>
        <v>48.07465394252364</v>
      </c>
      <c r="I186" s="71">
        <f t="shared" si="92"/>
        <v>70.58732175321292</v>
      </c>
      <c r="J186" s="71">
        <f t="shared" si="93"/>
        <v>48.07465394252364</v>
      </c>
      <c r="K186" s="71">
        <f t="shared" si="94"/>
        <v>51.43701720295304</v>
      </c>
      <c r="L186" s="71">
        <f t="shared" si="95"/>
        <v>1.7224666173438816</v>
      </c>
      <c r="M186" s="71">
        <f t="shared" si="96"/>
        <v>3.2265668130425462</v>
      </c>
      <c r="N186" s="71">
        <f t="shared" si="97"/>
        <v>0.9363479397359457</v>
      </c>
      <c r="O186" s="71">
        <f t="shared" si="98"/>
        <v>74.73759074958788</v>
      </c>
      <c r="P186" s="71">
        <f t="shared" si="99"/>
        <v>0.29757654816094514</v>
      </c>
    </row>
    <row r="187" spans="2:16" s="69" customFormat="1" ht="13.5">
      <c r="B187" s="71">
        <f t="shared" si="100"/>
        <v>43.02476049350496</v>
      </c>
      <c r="C187" s="69">
        <f t="shared" si="101"/>
        <v>60.001000000000005</v>
      </c>
      <c r="D187" s="69">
        <f t="shared" si="74"/>
        <v>66</v>
      </c>
      <c r="E187" s="71">
        <f t="shared" si="88"/>
        <v>1.0472150044891178</v>
      </c>
      <c r="F187" s="71">
        <f t="shared" si="89"/>
        <v>1.1519173063162575</v>
      </c>
      <c r="G187" s="71">
        <f t="shared" si="90"/>
        <v>87.39287437786855</v>
      </c>
      <c r="H187" s="71">
        <f t="shared" si="91"/>
        <v>46.34369565210348</v>
      </c>
      <c r="I187" s="71">
        <f t="shared" si="92"/>
        <v>67.39649223857965</v>
      </c>
      <c r="J187" s="71">
        <f t="shared" si="93"/>
        <v>46.34369565210348</v>
      </c>
      <c r="K187" s="71">
        <f t="shared" si="94"/>
        <v>50.18545319019432</v>
      </c>
      <c r="L187" s="71">
        <f t="shared" si="95"/>
        <v>1.7399199098638252</v>
      </c>
      <c r="M187" s="71">
        <f t="shared" si="96"/>
        <v>3.235690820800044</v>
      </c>
      <c r="N187" s="71">
        <f t="shared" si="97"/>
        <v>0.8848122620472225</v>
      </c>
      <c r="O187" s="71">
        <f t="shared" si="98"/>
        <v>73.19809458590579</v>
      </c>
      <c r="P187" s="71">
        <f t="shared" si="99"/>
        <v>0.2907610541209843</v>
      </c>
    </row>
    <row r="188" spans="2:16" s="69" customFormat="1" ht="13.5">
      <c r="B188" s="71">
        <f t="shared" si="100"/>
        <v>43.14944377021765</v>
      </c>
      <c r="C188" s="69">
        <f t="shared" si="101"/>
        <v>60.001000000000005</v>
      </c>
      <c r="D188" s="69">
        <f t="shared" si="74"/>
        <v>67</v>
      </c>
      <c r="E188" s="71">
        <f t="shared" si="88"/>
        <v>1.0472150044891178</v>
      </c>
      <c r="F188" s="71">
        <f t="shared" si="89"/>
        <v>1.1693705988362006</v>
      </c>
      <c r="G188" s="71">
        <f t="shared" si="90"/>
        <v>87.39287437786855</v>
      </c>
      <c r="H188" s="71">
        <f t="shared" si="91"/>
        <v>44.602388153158174</v>
      </c>
      <c r="I188" s="71">
        <f t="shared" si="92"/>
        <v>64.25487530372895</v>
      </c>
      <c r="J188" s="71">
        <f t="shared" si="93"/>
        <v>44.602388153158174</v>
      </c>
      <c r="K188" s="71">
        <f t="shared" si="94"/>
        <v>48.95319221244529</v>
      </c>
      <c r="L188" s="71">
        <f t="shared" si="95"/>
        <v>1.7573732023837683</v>
      </c>
      <c r="M188" s="71">
        <f t="shared" si="96"/>
        <v>3.2458580998131934</v>
      </c>
      <c r="N188" s="71">
        <f t="shared" si="97"/>
        <v>0.8329684582310031</v>
      </c>
      <c r="O188" s="71">
        <f t="shared" si="98"/>
        <v>71.69884783570113</v>
      </c>
      <c r="P188" s="71">
        <f t="shared" si="99"/>
        <v>0.2853654314447938</v>
      </c>
    </row>
    <row r="189" spans="2:16" s="69" customFormat="1" ht="13.5">
      <c r="B189" s="71">
        <f t="shared" si="100"/>
        <v>43.24229331665923</v>
      </c>
      <c r="C189" s="69">
        <f t="shared" si="101"/>
        <v>60.001000000000005</v>
      </c>
      <c r="D189" s="69">
        <f t="shared" si="74"/>
        <v>68</v>
      </c>
      <c r="E189" s="71">
        <f t="shared" si="88"/>
        <v>1.0472150044891178</v>
      </c>
      <c r="F189" s="71">
        <f t="shared" si="89"/>
        <v>1.1868238913561442</v>
      </c>
      <c r="G189" s="71">
        <f t="shared" si="90"/>
        <v>87.39287437786855</v>
      </c>
      <c r="H189" s="71">
        <f t="shared" si="91"/>
        <v>42.84956737955771</v>
      </c>
      <c r="I189" s="71">
        <f t="shared" si="92"/>
        <v>61.15946993579685</v>
      </c>
      <c r="J189" s="71">
        <f t="shared" si="93"/>
        <v>42.84956737955771</v>
      </c>
      <c r="K189" s="71">
        <f t="shared" si="94"/>
        <v>47.739057158962424</v>
      </c>
      <c r="L189" s="71">
        <f t="shared" si="95"/>
        <v>1.7748264949037118</v>
      </c>
      <c r="M189" s="71">
        <f t="shared" si="96"/>
        <v>3.2570847429771757</v>
      </c>
      <c r="N189" s="71">
        <f t="shared" si="97"/>
        <v>0.7807818706428962</v>
      </c>
      <c r="O189" s="71">
        <f t="shared" si="98"/>
        <v>70.23712713839357</v>
      </c>
      <c r="P189" s="71">
        <f t="shared" si="99"/>
        <v>0.28135654952939787</v>
      </c>
    </row>
    <row r="190" spans="2:16" s="69" customFormat="1" ht="13.5">
      <c r="B190" s="71">
        <f t="shared" si="100"/>
        <v>43.30373794869275</v>
      </c>
      <c r="C190" s="69">
        <f t="shared" si="101"/>
        <v>60.001000000000005</v>
      </c>
      <c r="D190" s="69">
        <f t="shared" si="74"/>
        <v>69</v>
      </c>
      <c r="E190" s="71">
        <f t="shared" si="88"/>
        <v>1.0472150044891178</v>
      </c>
      <c r="F190" s="71">
        <f t="shared" si="89"/>
        <v>1.2042771838760873</v>
      </c>
      <c r="G190" s="71">
        <f t="shared" si="90"/>
        <v>87.39287437786855</v>
      </c>
      <c r="H190" s="71">
        <f t="shared" si="91"/>
        <v>41.08403968726031</v>
      </c>
      <c r="I190" s="71">
        <f t="shared" si="92"/>
        <v>58.107418303486085</v>
      </c>
      <c r="J190" s="71">
        <f t="shared" si="93"/>
        <v>41.08403968726031</v>
      </c>
      <c r="K190" s="71">
        <f t="shared" si="94"/>
        <v>46.54192708022782</v>
      </c>
      <c r="L190" s="71">
        <f t="shared" si="95"/>
        <v>1.792279787423655</v>
      </c>
      <c r="M190" s="71">
        <f t="shared" si="96"/>
        <v>3.2693886601519666</v>
      </c>
      <c r="N190" s="71">
        <f t="shared" si="97"/>
        <v>0.7282169610177962</v>
      </c>
      <c r="O190" s="71">
        <f t="shared" si="98"/>
        <v>68.81032072781417</v>
      </c>
      <c r="P190" s="71">
        <f t="shared" si="99"/>
        <v>0.2787079617274969</v>
      </c>
    </row>
    <row r="191" spans="2:16" s="69" customFormat="1" ht="13.5">
      <c r="B191" s="71">
        <f t="shared" si="100"/>
        <v>43.33411565603829</v>
      </c>
      <c r="C191" s="69">
        <f t="shared" si="101"/>
        <v>60.001000000000005</v>
      </c>
      <c r="D191" s="69">
        <f t="shared" si="74"/>
        <v>70</v>
      </c>
      <c r="E191" s="71">
        <f t="shared" si="88"/>
        <v>1.0472150044891178</v>
      </c>
      <c r="F191" s="71">
        <f t="shared" si="89"/>
        <v>1.2217304763960306</v>
      </c>
      <c r="G191" s="71">
        <f t="shared" si="90"/>
        <v>87.39287437786855</v>
      </c>
      <c r="H191" s="71">
        <f t="shared" si="91"/>
        <v>39.30457845389725</v>
      </c>
      <c r="I191" s="71">
        <f t="shared" si="92"/>
        <v>55.09599421204639</v>
      </c>
      <c r="J191" s="71">
        <f t="shared" si="93"/>
        <v>39.30457845389725</v>
      </c>
      <c r="K191" s="71">
        <f t="shared" si="94"/>
        <v>45.360732659555765</v>
      </c>
      <c r="L191" s="71">
        <f t="shared" si="95"/>
        <v>1.809733079943598</v>
      </c>
      <c r="M191" s="71">
        <f t="shared" si="96"/>
        <v>3.2827896493451227</v>
      </c>
      <c r="N191" s="71">
        <f t="shared" si="97"/>
        <v>0.6752372092296027</v>
      </c>
      <c r="O191" s="71">
        <f t="shared" si="98"/>
        <v>67.41591624202361</v>
      </c>
      <c r="P191" s="71">
        <f t="shared" si="99"/>
        <v>0.27739981400017455</v>
      </c>
    </row>
    <row r="192" spans="2:16" s="69" customFormat="1" ht="13.5">
      <c r="B192" s="71">
        <f t="shared" si="100"/>
        <v>43.33367589259034</v>
      </c>
      <c r="C192" s="69">
        <f t="shared" si="101"/>
        <v>60.001000000000005</v>
      </c>
      <c r="D192" s="69">
        <f t="shared" si="74"/>
        <v>71</v>
      </c>
      <c r="E192" s="71">
        <f t="shared" si="88"/>
        <v>1.0472150044891178</v>
      </c>
      <c r="F192" s="71">
        <f t="shared" si="89"/>
        <v>1.239183768915974</v>
      </c>
      <c r="G192" s="71">
        <f t="shared" si="90"/>
        <v>87.39287437786855</v>
      </c>
      <c r="H192" s="71">
        <f t="shared" si="91"/>
        <v>37.50992049257642</v>
      </c>
      <c r="I192" s="71">
        <f t="shared" si="92"/>
        <v>52.12259246172309</v>
      </c>
      <c r="J192" s="71">
        <f t="shared" si="93"/>
        <v>37.50992049257642</v>
      </c>
      <c r="K192" s="71">
        <f t="shared" si="94"/>
        <v>44.19445203907388</v>
      </c>
      <c r="L192" s="71">
        <f t="shared" si="95"/>
        <v>1.8271863724635415</v>
      </c>
      <c r="M192" s="71">
        <f t="shared" si="96"/>
        <v>3.297309476365921</v>
      </c>
      <c r="N192" s="71">
        <f t="shared" si="97"/>
        <v>0.6218050065196917</v>
      </c>
      <c r="O192" s="71">
        <f t="shared" si="98"/>
        <v>66.05148923759016</v>
      </c>
      <c r="P192" s="71">
        <f t="shared" si="99"/>
        <v>0.27741874530227173</v>
      </c>
    </row>
    <row r="193" spans="2:16" s="69" customFormat="1" ht="13.5">
      <c r="B193" s="71">
        <f t="shared" si="100"/>
        <v>43.30258130246025</v>
      </c>
      <c r="C193" s="69">
        <f t="shared" si="101"/>
        <v>60.001000000000005</v>
      </c>
      <c r="D193" s="69">
        <f t="shared" si="74"/>
        <v>72</v>
      </c>
      <c r="E193" s="71">
        <f t="shared" si="88"/>
        <v>1.0472150044891178</v>
      </c>
      <c r="F193" s="71">
        <f t="shared" si="89"/>
        <v>1.2566370614359172</v>
      </c>
      <c r="G193" s="71">
        <f t="shared" si="90"/>
        <v>87.39287437786855</v>
      </c>
      <c r="H193" s="71">
        <f t="shared" si="91"/>
        <v>35.698762256707205</v>
      </c>
      <c r="I193" s="71">
        <f t="shared" si="92"/>
        <v>49.18471901725621</v>
      </c>
      <c r="J193" s="71">
        <f t="shared" si="93"/>
        <v>35.698762256707205</v>
      </c>
      <c r="K193" s="71">
        <f t="shared" si="94"/>
        <v>43.042106963828815</v>
      </c>
      <c r="L193" s="71">
        <f t="shared" si="95"/>
        <v>1.8446396649834846</v>
      </c>
      <c r="M193" s="71">
        <f t="shared" si="96"/>
        <v>3.3129719635610875</v>
      </c>
      <c r="N193" s="71">
        <f t="shared" si="97"/>
        <v>0.5678815425034818</v>
      </c>
      <c r="O193" s="71">
        <f t="shared" si="98"/>
        <v>64.7146923051325</v>
      </c>
      <c r="P193" s="71">
        <f t="shared" si="99"/>
        <v>0.2787577870377117</v>
      </c>
    </row>
    <row r="194" spans="2:16" s="69" customFormat="1" ht="13.5">
      <c r="B194" s="71">
        <f t="shared" si="100"/>
        <v>43.24090890158644</v>
      </c>
      <c r="C194" s="69">
        <f t="shared" si="101"/>
        <v>60.001000000000005</v>
      </c>
      <c r="D194" s="69">
        <f t="shared" si="74"/>
        <v>73</v>
      </c>
      <c r="E194" s="71">
        <f t="shared" si="88"/>
        <v>1.0472150044891178</v>
      </c>
      <c r="F194" s="71">
        <f t="shared" si="89"/>
        <v>1.2740903539558606</v>
      </c>
      <c r="G194" s="71">
        <f t="shared" si="90"/>
        <v>87.39287437786855</v>
      </c>
      <c r="H194" s="71">
        <f t="shared" si="91"/>
        <v>33.86975581055276</v>
      </c>
      <c r="I194" s="71">
        <f t="shared" si="92"/>
        <v>46.27998190580472</v>
      </c>
      <c r="J194" s="71">
        <f t="shared" si="93"/>
        <v>33.86975581055276</v>
      </c>
      <c r="K194" s="71">
        <f t="shared" si="94"/>
        <v>41.90275921160796</v>
      </c>
      <c r="L194" s="71">
        <f t="shared" si="95"/>
        <v>1.8620929575034282</v>
      </c>
      <c r="M194" s="71">
        <f t="shared" si="96"/>
        <v>3.3298030883232532</v>
      </c>
      <c r="N194" s="71">
        <f t="shared" si="97"/>
        <v>0.5134266852020202</v>
      </c>
      <c r="O194" s="71">
        <f t="shared" si="98"/>
        <v>63.40324469053537</v>
      </c>
      <c r="P194" s="71">
        <f t="shared" si="99"/>
        <v>0.2814162652268716</v>
      </c>
    </row>
    <row r="195" spans="2:16" s="69" customFormat="1" ht="13.5">
      <c r="B195" s="71">
        <f t="shared" si="100"/>
        <v>43.14865072864096</v>
      </c>
      <c r="C195" s="69">
        <f t="shared" si="101"/>
        <v>60.001000000000005</v>
      </c>
      <c r="D195" s="69">
        <f t="shared" si="74"/>
        <v>74</v>
      </c>
      <c r="E195" s="71">
        <f t="shared" si="88"/>
        <v>1.0472150044891178</v>
      </c>
      <c r="F195" s="71">
        <f t="shared" si="89"/>
        <v>1.2915436464758039</v>
      </c>
      <c r="G195" s="71">
        <f t="shared" si="90"/>
        <v>87.39287437786855</v>
      </c>
      <c r="H195" s="71">
        <f t="shared" si="91"/>
        <v>32.02150453781869</v>
      </c>
      <c r="I195" s="71">
        <f t="shared" si="92"/>
        <v>43.40608276923955</v>
      </c>
      <c r="J195" s="71">
        <f t="shared" si="93"/>
        <v>32.02150453781869</v>
      </c>
      <c r="K195" s="71">
        <f t="shared" si="94"/>
        <v>40.77550727942922</v>
      </c>
      <c r="L195" s="71">
        <f t="shared" si="95"/>
        <v>1.8795462500233713</v>
      </c>
      <c r="M195" s="71">
        <f t="shared" si="96"/>
        <v>3.347831092152982</v>
      </c>
      <c r="N195" s="71">
        <f t="shared" si="97"/>
        <v>0.4583988532741495</v>
      </c>
      <c r="O195" s="71">
        <f t="shared" si="98"/>
        <v>62.114922332441445</v>
      </c>
      <c r="P195" s="71">
        <f t="shared" si="99"/>
        <v>0.2853997057308949</v>
      </c>
    </row>
    <row r="196" spans="2:16" s="69" customFormat="1" ht="13.5">
      <c r="B196" s="71">
        <f t="shared" si="100"/>
        <v>43.025713973091</v>
      </c>
      <c r="C196" s="69">
        <f t="shared" si="101"/>
        <v>60.001000000000005</v>
      </c>
      <c r="D196" s="69">
        <f t="shared" si="74"/>
        <v>75</v>
      </c>
      <c r="E196" s="71">
        <f t="shared" si="88"/>
        <v>1.0472150044891178</v>
      </c>
      <c r="F196" s="71">
        <f t="shared" si="89"/>
        <v>1.3089969389957472</v>
      </c>
      <c r="G196" s="71">
        <f t="shared" si="90"/>
        <v>87.39287437786855</v>
      </c>
      <c r="H196" s="71">
        <f t="shared" si="91"/>
        <v>30.152558557855457</v>
      </c>
      <c r="I196" s="71">
        <f t="shared" si="92"/>
        <v>40.560809004261195</v>
      </c>
      <c r="J196" s="71">
        <f t="shared" si="93"/>
        <v>30.152558557855457</v>
      </c>
      <c r="K196" s="71">
        <f t="shared" si="94"/>
        <v>39.65948330059791</v>
      </c>
      <c r="L196" s="71">
        <f t="shared" si="95"/>
        <v>1.8969995425433148</v>
      </c>
      <c r="M196" s="71">
        <f t="shared" si="96"/>
        <v>3.3670866011551928</v>
      </c>
      <c r="N196" s="71">
        <f t="shared" si="97"/>
        <v>0.4027548795434824</v>
      </c>
      <c r="O196" s="71">
        <f t="shared" si="98"/>
        <v>60.84754823153087</v>
      </c>
      <c r="P196" s="71">
        <f t="shared" si="99"/>
        <v>0.29071973978174365</v>
      </c>
    </row>
    <row r="197" spans="2:16" s="69" customFormat="1" ht="13.5">
      <c r="B197" s="71">
        <f t="shared" si="100"/>
        <v>42.87192058254665</v>
      </c>
      <c r="C197" s="69">
        <f t="shared" si="101"/>
        <v>60.001000000000005</v>
      </c>
      <c r="D197" s="69">
        <f t="shared" si="74"/>
        <v>76</v>
      </c>
      <c r="E197" s="71">
        <f t="shared" si="88"/>
        <v>1.0472150044891178</v>
      </c>
      <c r="F197" s="71">
        <f t="shared" si="89"/>
        <v>1.3264502315156903</v>
      </c>
      <c r="G197" s="71">
        <f t="shared" si="90"/>
        <v>87.39287437786855</v>
      </c>
      <c r="H197" s="71">
        <f t="shared" si="91"/>
        <v>28.2614098159386</v>
      </c>
      <c r="I197" s="71">
        <f t="shared" si="92"/>
        <v>37.7420264303865</v>
      </c>
      <c r="J197" s="71">
        <f t="shared" si="93"/>
        <v>28.2614098159386</v>
      </c>
      <c r="K197" s="71">
        <f t="shared" si="94"/>
        <v>38.55385016881386</v>
      </c>
      <c r="L197" s="71">
        <f t="shared" si="95"/>
        <v>1.914452835063258</v>
      </c>
      <c r="M197" s="71">
        <f t="shared" si="96"/>
        <v>3.3876027589624966</v>
      </c>
      <c r="N197" s="71">
        <f t="shared" si="97"/>
        <v>0.34644986482172163</v>
      </c>
      <c r="O197" s="71">
        <f t="shared" si="98"/>
        <v>59.59898307081492</v>
      </c>
      <c r="P197" s="71">
        <f t="shared" si="99"/>
        <v>0.2973940039905558</v>
      </c>
    </row>
    <row r="198" spans="2:16" s="69" customFormat="1" ht="13.5">
      <c r="B198" s="71">
        <f t="shared" si="100"/>
        <v>42.687006345840686</v>
      </c>
      <c r="C198" s="69">
        <f t="shared" si="101"/>
        <v>60.001000000000005</v>
      </c>
      <c r="D198" s="69">
        <f t="shared" si="74"/>
        <v>77</v>
      </c>
      <c r="E198" s="71">
        <f t="shared" si="88"/>
        <v>1.0472150044891178</v>
      </c>
      <c r="F198" s="71">
        <f t="shared" si="89"/>
        <v>1.3439035240356338</v>
      </c>
      <c r="G198" s="71">
        <f t="shared" si="90"/>
        <v>87.39287437786855</v>
      </c>
      <c r="H198" s="71">
        <f t="shared" si="91"/>
        <v>26.34648681054474</v>
      </c>
      <c r="I198" s="71">
        <f t="shared" si="92"/>
        <v>34.9476724316321</v>
      </c>
      <c r="J198" s="71">
        <f t="shared" si="93"/>
        <v>26.34648681054474</v>
      </c>
      <c r="K198" s="71">
        <f t="shared" si="94"/>
        <v>37.4577988480803</v>
      </c>
      <c r="L198" s="71">
        <f t="shared" si="95"/>
        <v>1.9319061275832015</v>
      </c>
      <c r="M198" s="71">
        <f t="shared" si="96"/>
        <v>3.409415373203253</v>
      </c>
      <c r="N198" s="71">
        <f t="shared" si="97"/>
        <v>0.2894370209242849</v>
      </c>
      <c r="O198" s="71">
        <f t="shared" si="98"/>
        <v>58.36711600875797</v>
      </c>
      <c r="P198" s="71">
        <f t="shared" si="99"/>
        <v>0.3054460257841965</v>
      </c>
    </row>
    <row r="199" spans="2:16" s="69" customFormat="1" ht="13.5">
      <c r="B199" s="71">
        <f t="shared" si="100"/>
        <v>42.47061944254788</v>
      </c>
      <c r="C199" s="69">
        <f t="shared" si="101"/>
        <v>60.001000000000005</v>
      </c>
      <c r="D199" s="69">
        <f t="shared" si="74"/>
        <v>78</v>
      </c>
      <c r="E199" s="71">
        <f t="shared" si="88"/>
        <v>1.0472150044891178</v>
      </c>
      <c r="F199" s="71">
        <f t="shared" si="89"/>
        <v>1.361356816555577</v>
      </c>
      <c r="G199" s="71">
        <f t="shared" si="90"/>
        <v>87.39287437786855</v>
      </c>
      <c r="H199" s="71">
        <f t="shared" si="91"/>
        <v>24.40614891650218</v>
      </c>
      <c r="I199" s="71">
        <f t="shared" si="92"/>
        <v>32.17574952279962</v>
      </c>
      <c r="J199" s="71">
        <f t="shared" si="93"/>
        <v>24.40614891650218</v>
      </c>
      <c r="K199" s="71">
        <f t="shared" si="94"/>
        <v>36.370545849157565</v>
      </c>
      <c r="L199" s="71">
        <f t="shared" si="95"/>
        <v>1.9493594201031446</v>
      </c>
      <c r="M199" s="71">
        <f t="shared" si="96"/>
        <v>3.4325630767730444</v>
      </c>
      <c r="N199" s="71">
        <f t="shared" si="97"/>
        <v>0.23166750165393885</v>
      </c>
      <c r="O199" s="71">
        <f t="shared" si="98"/>
        <v>57.149855568549334</v>
      </c>
      <c r="P199" s="71">
        <f t="shared" si="99"/>
        <v>0.31490508170031306</v>
      </c>
    </row>
    <row r="200" spans="2:16" s="69" customFormat="1" ht="13.5">
      <c r="B200" s="71">
        <f t="shared" si="100"/>
        <v>42.222318443757025</v>
      </c>
      <c r="C200" s="69">
        <f t="shared" si="101"/>
        <v>60.001000000000005</v>
      </c>
      <c r="D200" s="69">
        <f t="shared" si="74"/>
        <v>79</v>
      </c>
      <c r="E200" s="71">
        <f t="shared" si="88"/>
        <v>1.0472150044891178</v>
      </c>
      <c r="F200" s="71">
        <f t="shared" si="89"/>
        <v>1.3788101090755203</v>
      </c>
      <c r="G200" s="71">
        <f t="shared" si="90"/>
        <v>87.39287437786855</v>
      </c>
      <c r="H200" s="71">
        <f t="shared" si="91"/>
        <v>22.438680258289008</v>
      </c>
      <c r="I200" s="71">
        <f t="shared" si="92"/>
        <v>29.424319295722153</v>
      </c>
      <c r="J200" s="71">
        <f t="shared" si="93"/>
        <v>22.438680258289008</v>
      </c>
      <c r="K200" s="71">
        <f t="shared" si="94"/>
        <v>35.29133085505204</v>
      </c>
      <c r="L200" s="71">
        <f t="shared" si="95"/>
        <v>1.9668127126230877</v>
      </c>
      <c r="M200" s="71">
        <f t="shared" si="96"/>
        <v>3.4570875053272205</v>
      </c>
      <c r="N200" s="71">
        <f t="shared" si="97"/>
        <v>0.17309022039101127</v>
      </c>
      <c r="O200" s="71">
        <f t="shared" si="98"/>
        <v>55.94512054728922</v>
      </c>
      <c r="P200" s="71">
        <f t="shared" si="99"/>
        <v>0.3258060120244075</v>
      </c>
    </row>
    <row r="201" spans="2:16" s="69" customFormat="1" ht="13.5">
      <c r="B201" s="71">
        <f t="shared" si="100"/>
        <v>41.94156974275984</v>
      </c>
      <c r="C201" s="69">
        <f t="shared" si="101"/>
        <v>60.001000000000005</v>
      </c>
      <c r="D201" s="69">
        <f t="shared" si="74"/>
        <v>80</v>
      </c>
      <c r="E201" s="71">
        <f t="shared" si="88"/>
        <v>1.0472150044891178</v>
      </c>
      <c r="F201" s="71">
        <f t="shared" si="89"/>
        <v>1.3962634015954636</v>
      </c>
      <c r="G201" s="71">
        <f t="shared" si="90"/>
        <v>87.39287437786855</v>
      </c>
      <c r="H201" s="71">
        <f t="shared" si="91"/>
        <v>20.442283082501756</v>
      </c>
      <c r="I201" s="71">
        <f t="shared" si="92"/>
        <v>26.691496704743898</v>
      </c>
      <c r="J201" s="71">
        <f t="shared" si="93"/>
        <v>20.442283082501756</v>
      </c>
      <c r="K201" s="71">
        <f t="shared" si="94"/>
        <v>34.21941447956511</v>
      </c>
      <c r="L201" s="71">
        <f t="shared" si="95"/>
        <v>1.9842660051430312</v>
      </c>
      <c r="M201" s="71">
        <f t="shared" si="96"/>
        <v>3.483033492591896</v>
      </c>
      <c r="N201" s="71">
        <f t="shared" si="97"/>
        <v>0.1136516527724497</v>
      </c>
      <c r="O201" s="71">
        <f t="shared" si="98"/>
        <v>54.75083086823684</v>
      </c>
      <c r="P201" s="71">
        <f t="shared" si="99"/>
        <v>0.3381889707777612</v>
      </c>
    </row>
    <row r="202" spans="2:16" s="69" customFormat="1" ht="13.5">
      <c r="B202" s="71">
        <f t="shared" si="100"/>
        <v>41.62774438780482</v>
      </c>
      <c r="C202" s="69">
        <f t="shared" si="101"/>
        <v>60.001000000000005</v>
      </c>
      <c r="D202" s="69">
        <f t="shared" si="74"/>
        <v>81</v>
      </c>
      <c r="E202" s="71">
        <f t="shared" si="88"/>
        <v>1.0472150044891178</v>
      </c>
      <c r="F202" s="71">
        <f t="shared" si="89"/>
        <v>1.413716694115407</v>
      </c>
      <c r="G202" s="71">
        <f t="shared" si="90"/>
        <v>87.39287437786855</v>
      </c>
      <c r="H202" s="71">
        <f t="shared" si="91"/>
        <v>18.415070572518374</v>
      </c>
      <c r="I202" s="71">
        <f t="shared" si="92"/>
        <v>23.97544465412669</v>
      </c>
      <c r="J202" s="71">
        <f t="shared" si="93"/>
        <v>18.415070572518374</v>
      </c>
      <c r="K202" s="71">
        <f t="shared" si="94"/>
        <v>33.15407614426935</v>
      </c>
      <c r="L202" s="71">
        <f t="shared" si="95"/>
        <v>2.0017192976629743</v>
      </c>
      <c r="M202" s="71">
        <f t="shared" si="96"/>
        <v>3.510449285294637</v>
      </c>
      <c r="N202" s="71">
        <f t="shared" si="97"/>
        <v>0.053295622763378</v>
      </c>
      <c r="O202" s="71">
        <f t="shared" si="98"/>
        <v>53.56489829756346</v>
      </c>
      <c r="P202" s="71">
        <f t="shared" si="99"/>
        <v>0.35209908500894654</v>
      </c>
    </row>
    <row r="203" spans="2:16" s="69" customFormat="1" ht="13.5">
      <c r="B203" s="71">
        <f t="shared" si="100"/>
        <v>43.23745130572078</v>
      </c>
      <c r="C203" s="69">
        <f t="shared" si="101"/>
        <v>60.001000000000005</v>
      </c>
      <c r="D203" s="69">
        <f t="shared" si="74"/>
        <v>82</v>
      </c>
      <c r="E203" s="71">
        <f t="shared" si="88"/>
        <v>1.0472150044891178</v>
      </c>
      <c r="F203" s="71">
        <f t="shared" si="89"/>
        <v>1.43116998663535</v>
      </c>
      <c r="G203" s="71">
        <f t="shared" si="90"/>
        <v>87.39287437786855</v>
      </c>
      <c r="H203" s="71">
        <f t="shared" si="91"/>
        <v>21.274368853074545</v>
      </c>
      <c r="I203" s="71">
        <f t="shared" si="92"/>
        <v>21.274368853074545</v>
      </c>
      <c r="J203" s="71">
        <f t="shared" si="93"/>
        <v>16.355059041525283</v>
      </c>
      <c r="K203" s="71">
        <f t="shared" si="94"/>
        <v>32.09461206045451</v>
      </c>
      <c r="L203" s="71">
        <f t="shared" si="95"/>
        <v>2.0191725901829174</v>
      </c>
      <c r="M203" s="71">
        <f t="shared" si="96"/>
        <v>3.539386779747792</v>
      </c>
      <c r="N203" s="71">
        <f t="shared" si="97"/>
        <v>-0.008036929779261789</v>
      </c>
      <c r="O203" s="71">
        <f t="shared" si="98"/>
        <v>54.86911328027334</v>
      </c>
      <c r="P203" s="71">
        <f t="shared" si="99"/>
        <v>0.2815654137052347</v>
      </c>
    </row>
    <row r="204" spans="2:16" s="69" customFormat="1" ht="13.5">
      <c r="B204" s="71">
        <f t="shared" si="100"/>
        <v>42.63846024983878</v>
      </c>
      <c r="C204" s="69">
        <f t="shared" si="101"/>
        <v>60.001000000000005</v>
      </c>
      <c r="D204" s="69">
        <f t="shared" si="74"/>
        <v>83</v>
      </c>
      <c r="E204" s="71">
        <f t="shared" si="88"/>
        <v>1.0472150044891178</v>
      </c>
      <c r="F204" s="71">
        <f t="shared" si="89"/>
        <v>1.4486232791552935</v>
      </c>
      <c r="G204" s="71">
        <f t="shared" si="90"/>
        <v>87.39287437786855</v>
      </c>
      <c r="H204" s="71">
        <f t="shared" si="91"/>
        <v>18.586512906677186</v>
      </c>
      <c r="I204" s="71">
        <f t="shared" si="92"/>
        <v>18.586512906677186</v>
      </c>
      <c r="J204" s="71">
        <f t="shared" si="93"/>
        <v>14.26015943222883</v>
      </c>
      <c r="K204" s="71">
        <f t="shared" si="94"/>
        <v>31.040333303609955</v>
      </c>
      <c r="L204" s="71">
        <f t="shared" si="95"/>
        <v>2.036625882702861</v>
      </c>
      <c r="M204" s="71">
        <f t="shared" si="96"/>
        <v>3.569901782381449</v>
      </c>
      <c r="N204" s="71">
        <f t="shared" si="97"/>
        <v>-0.0704082021850964</v>
      </c>
      <c r="O204" s="71">
        <f t="shared" si="98"/>
        <v>53.38913648769995</v>
      </c>
      <c r="P204" s="71">
        <f t="shared" si="99"/>
        <v>0.3075647653096693</v>
      </c>
    </row>
    <row r="205" spans="2:16" s="69" customFormat="1" ht="13.5">
      <c r="B205" s="71">
        <f t="shared" si="100"/>
        <v>42.01831992297434</v>
      </c>
      <c r="C205" s="69">
        <f t="shared" si="101"/>
        <v>60.001000000000005</v>
      </c>
      <c r="D205" s="69">
        <f t="shared" si="74"/>
        <v>84</v>
      </c>
      <c r="E205" s="71">
        <f t="shared" si="88"/>
        <v>1.0472150044891178</v>
      </c>
      <c r="F205" s="71">
        <f t="shared" si="89"/>
        <v>1.4660765716752369</v>
      </c>
      <c r="G205" s="71">
        <f t="shared" si="90"/>
        <v>87.39287437786855</v>
      </c>
      <c r="H205" s="71">
        <f t="shared" si="91"/>
        <v>15.910153613341771</v>
      </c>
      <c r="I205" s="71">
        <f t="shared" si="92"/>
        <v>15.910153613341771</v>
      </c>
      <c r="J205" s="71">
        <f t="shared" si="93"/>
        <v>12.128168042573405</v>
      </c>
      <c r="K205" s="71">
        <f t="shared" si="94"/>
        <v>29.990563968899536</v>
      </c>
      <c r="L205" s="71">
        <f t="shared" si="95"/>
        <v>2.0540791752228045</v>
      </c>
      <c r="M205" s="71">
        <f t="shared" si="96"/>
        <v>3.602054296824678</v>
      </c>
      <c r="N205" s="71">
        <f t="shared" si="97"/>
        <v>-0.1338838050927462</v>
      </c>
      <c r="O205" s="71">
        <f t="shared" si="98"/>
        <v>51.93749972513001</v>
      </c>
      <c r="P205" s="71">
        <f t="shared" si="99"/>
        <v>0.33479787329359767</v>
      </c>
    </row>
    <row r="206" spans="2:16" s="69" customFormat="1" ht="13.5">
      <c r="B206" s="71">
        <f t="shared" si="100"/>
        <v>41.37692016163412</v>
      </c>
      <c r="C206" s="69">
        <f t="shared" si="101"/>
        <v>60.001000000000005</v>
      </c>
      <c r="D206" s="69">
        <f t="shared" si="74"/>
        <v>85</v>
      </c>
      <c r="E206" s="71">
        <f t="shared" si="88"/>
        <v>1.0472150044891178</v>
      </c>
      <c r="F206" s="71">
        <f t="shared" si="89"/>
        <v>1.4835298641951802</v>
      </c>
      <c r="G206" s="71">
        <f t="shared" si="90"/>
        <v>87.39287437786855</v>
      </c>
      <c r="H206" s="71">
        <f t="shared" si="91"/>
        <v>13.24359644123674</v>
      </c>
      <c r="I206" s="71">
        <f t="shared" si="92"/>
        <v>13.24359644123674</v>
      </c>
      <c r="J206" s="71">
        <f t="shared" si="93"/>
        <v>9.956756386451493</v>
      </c>
      <c r="K206" s="71">
        <f t="shared" si="94"/>
        <v>28.944639396851734</v>
      </c>
      <c r="L206" s="71">
        <f t="shared" si="95"/>
        <v>2.0715324677427476</v>
      </c>
      <c r="M206" s="71">
        <f t="shared" si="96"/>
        <v>3.6359088404790922</v>
      </c>
      <c r="N206" s="71">
        <f t="shared" si="97"/>
        <v>-0.1985330643260647</v>
      </c>
      <c r="O206" s="71">
        <f t="shared" si="98"/>
        <v>50.51189269453449</v>
      </c>
      <c r="P206" s="71">
        <f t="shared" si="99"/>
        <v>0.36326538045131207</v>
      </c>
    </row>
    <row r="207" spans="2:16" s="69" customFormat="1" ht="13.5">
      <c r="B207" s="71">
        <f t="shared" si="100"/>
        <v>40.714096193737376</v>
      </c>
      <c r="C207" s="69">
        <f t="shared" si="101"/>
        <v>60.001000000000005</v>
      </c>
      <c r="D207" s="69">
        <f t="shared" si="74"/>
        <v>86</v>
      </c>
      <c r="E207" s="71">
        <f t="shared" si="88"/>
        <v>1.0472150044891178</v>
      </c>
      <c r="F207" s="71">
        <f t="shared" si="89"/>
        <v>1.5009831567151233</v>
      </c>
      <c r="G207" s="71">
        <f t="shared" si="90"/>
        <v>87.39287437786855</v>
      </c>
      <c r="H207" s="71">
        <f t="shared" si="91"/>
        <v>10.585171157948913</v>
      </c>
      <c r="I207" s="71">
        <f t="shared" si="92"/>
        <v>10.585171157948913</v>
      </c>
      <c r="J207" s="71">
        <f t="shared" si="93"/>
        <v>7.743460086500027</v>
      </c>
      <c r="K207" s="71">
        <f t="shared" si="94"/>
        <v>27.90190445914594</v>
      </c>
      <c r="L207" s="71">
        <f t="shared" si="95"/>
        <v>2.0889857602626907</v>
      </c>
      <c r="M207" s="71">
        <f t="shared" si="96"/>
        <v>3.6715347939252476</v>
      </c>
      <c r="N207" s="71">
        <f t="shared" si="97"/>
        <v>-0.26442935158799213</v>
      </c>
      <c r="O207" s="71">
        <f t="shared" si="98"/>
        <v>49.11007358600057</v>
      </c>
      <c r="P207" s="71">
        <f t="shared" si="99"/>
        <v>0.392961166027542</v>
      </c>
    </row>
    <row r="208" spans="2:16" s="69" customFormat="1" ht="13.5">
      <c r="B208" s="71">
        <f t="shared" si="100"/>
        <v>40.02962909072311</v>
      </c>
      <c r="C208" s="69">
        <f t="shared" si="101"/>
        <v>60.001000000000005</v>
      </c>
      <c r="D208" s="69">
        <f t="shared" si="74"/>
        <v>87</v>
      </c>
      <c r="E208" s="71">
        <f t="shared" si="88"/>
        <v>1.0472150044891178</v>
      </c>
      <c r="F208" s="71">
        <f t="shared" si="89"/>
        <v>1.5184364492350666</v>
      </c>
      <c r="G208" s="71">
        <f t="shared" si="90"/>
        <v>87.39287437786855</v>
      </c>
      <c r="H208" s="71">
        <f t="shared" si="91"/>
        <v>7.933227588970383</v>
      </c>
      <c r="I208" s="71">
        <f t="shared" si="92"/>
        <v>7.933227588970383</v>
      </c>
      <c r="J208" s="71">
        <f t="shared" si="93"/>
        <v>5.4856666823648865</v>
      </c>
      <c r="K208" s="71">
        <f t="shared" si="94"/>
        <v>26.861711894930572</v>
      </c>
      <c r="L208" s="71">
        <f t="shared" si="95"/>
        <v>2.106439052782634</v>
      </c>
      <c r="M208" s="71">
        <f t="shared" si="96"/>
        <v>3.7090067869585464</v>
      </c>
      <c r="N208" s="71">
        <f t="shared" si="97"/>
        <v>-0.3316504474440855</v>
      </c>
      <c r="O208" s="71">
        <f t="shared" si="98"/>
        <v>47.729860353616246</v>
      </c>
      <c r="P208" s="71">
        <f t="shared" si="99"/>
        <v>0.4238710929873347</v>
      </c>
    </row>
    <row r="209" spans="2:16" s="69" customFormat="1" ht="13.5">
      <c r="B209" s="71">
        <f t="shared" si="100"/>
        <v>39.32324592516932</v>
      </c>
      <c r="C209" s="69">
        <f t="shared" si="101"/>
        <v>60.001000000000005</v>
      </c>
      <c r="D209" s="69">
        <f t="shared" si="74"/>
        <v>88</v>
      </c>
      <c r="E209" s="71">
        <f t="shared" si="88"/>
        <v>1.0472150044891178</v>
      </c>
      <c r="F209" s="71">
        <f t="shared" si="89"/>
        <v>1.53588974175501</v>
      </c>
      <c r="G209" s="71">
        <f t="shared" si="90"/>
        <v>87.39287437786855</v>
      </c>
      <c r="H209" s="71">
        <f t="shared" si="91"/>
        <v>5.286131481813329</v>
      </c>
      <c r="I209" s="71">
        <f t="shared" si="92"/>
        <v>5.286131481813329</v>
      </c>
      <c r="J209" s="71">
        <f t="shared" si="93"/>
        <v>3.180602221976846</v>
      </c>
      <c r="K209" s="71">
        <f t="shared" si="94"/>
        <v>25.823420688572526</v>
      </c>
      <c r="L209" s="71">
        <f t="shared" si="95"/>
        <v>2.1238923453025773</v>
      </c>
      <c r="M209" s="71">
        <f t="shared" si="96"/>
        <v>3.7484051255774977</v>
      </c>
      <c r="N209" s="71">
        <f t="shared" si="97"/>
        <v>-0.4002789405393484</v>
      </c>
      <c r="O209" s="71">
        <f t="shared" si="98"/>
        <v>46.36912234505622</v>
      </c>
      <c r="P209" s="71">
        <f t="shared" si="99"/>
        <v>0.4559717747301911</v>
      </c>
    </row>
    <row r="210" spans="2:16" s="69" customFormat="1" ht="13.5">
      <c r="B210" s="71">
        <f t="shared" si="100"/>
        <v>38.59461963973164</v>
      </c>
      <c r="C210" s="69">
        <f t="shared" si="101"/>
        <v>60.001000000000005</v>
      </c>
      <c r="D210" s="69">
        <f t="shared" si="74"/>
        <v>89</v>
      </c>
      <c r="E210" s="71">
        <f t="shared" si="88"/>
        <v>1.0472150044891178</v>
      </c>
      <c r="F210" s="71">
        <f t="shared" si="89"/>
        <v>1.5533430342749535</v>
      </c>
      <c r="G210" s="71">
        <f t="shared" si="90"/>
        <v>87.39287437786855</v>
      </c>
      <c r="H210" s="71">
        <f t="shared" si="91"/>
        <v>2.642260453508916</v>
      </c>
      <c r="I210" s="71">
        <f t="shared" si="92"/>
        <v>2.642260453508916</v>
      </c>
      <c r="J210" s="71">
        <f t="shared" si="93"/>
        <v>0.8253164850416557</v>
      </c>
      <c r="K210" s="71">
        <f t="shared" si="94"/>
        <v>24.78639448011291</v>
      </c>
      <c r="L210" s="71">
        <f t="shared" si="95"/>
        <v>2.141345637822521</v>
      </c>
      <c r="M210" s="71">
        <f t="shared" si="96"/>
        <v>3.7898162648555984</v>
      </c>
      <c r="N210" s="71">
        <f t="shared" si="97"/>
        <v>-0.47040266753803595</v>
      </c>
      <c r="O210" s="71">
        <f t="shared" si="98"/>
        <v>45.025772224533625</v>
      </c>
      <c r="P210" s="71">
        <f t="shared" si="99"/>
        <v>0.4892294138348721</v>
      </c>
    </row>
    <row r="211" spans="2:16" s="69" customFormat="1" ht="13.5">
      <c r="B211" s="71">
        <f t="shared" si="100"/>
        <v>37.8433686305388</v>
      </c>
      <c r="C211" s="69">
        <f t="shared" si="101"/>
        <v>60.001000000000005</v>
      </c>
      <c r="D211" s="69">
        <f t="shared" si="74"/>
        <v>90</v>
      </c>
      <c r="E211" s="71">
        <f t="shared" si="88"/>
        <v>1.0472150044891178</v>
      </c>
      <c r="F211" s="71">
        <f t="shared" si="89"/>
        <v>1.5707963267948966</v>
      </c>
      <c r="G211" s="71">
        <f t="shared" si="90"/>
        <v>87.39287437786855</v>
      </c>
      <c r="H211" s="71">
        <f t="shared" si="91"/>
        <v>9.272842368089618E-15</v>
      </c>
      <c r="I211" s="71">
        <f t="shared" si="92"/>
        <v>9.272842368089618E-15</v>
      </c>
      <c r="J211" s="71">
        <f t="shared" si="93"/>
        <v>-1.5833333333333073</v>
      </c>
      <c r="K211" s="71">
        <f t="shared" si="94"/>
        <v>23.750000000000007</v>
      </c>
      <c r="L211" s="71">
        <f t="shared" si="95"/>
        <v>2.158798930342464</v>
      </c>
      <c r="M211" s="71">
        <f t="shared" si="96"/>
        <v>3.8333333333333317</v>
      </c>
      <c r="N211" s="71">
        <f t="shared" si="97"/>
        <v>-0.5421151989096857</v>
      </c>
      <c r="O211" s="71">
        <f t="shared" si="98"/>
        <v>43.69775813176763</v>
      </c>
      <c r="P211" s="71">
        <f t="shared" si="99"/>
        <v>0.5235987755982986</v>
      </c>
    </row>
    <row r="212" spans="1:16" ht="15">
      <c r="A212" s="69" t="s">
        <v>515</v>
      </c>
      <c r="B212" s="69">
        <f>MAX(B26:B211)</f>
        <v>43.425572760250205</v>
      </c>
      <c r="C212" s="73">
        <f>VLOOKUP(B212,B26:P211,2,FALSE)</f>
        <v>54.001000000000005</v>
      </c>
      <c r="D212" s="73">
        <f>VLOOKUP(B212,B26:P211,3,FALSE)</f>
        <v>71</v>
      </c>
      <c r="E212" s="74"/>
      <c r="F212" s="74"/>
      <c r="G212" s="74"/>
      <c r="H212" s="74"/>
      <c r="I212" s="74"/>
      <c r="J212" s="74"/>
      <c r="K212" s="74"/>
      <c r="L212" s="74"/>
      <c r="M212" s="74"/>
      <c r="N212" s="74"/>
      <c r="O212" s="74"/>
      <c r="P212" s="74"/>
    </row>
    <row r="213" spans="2:16" ht="13.5">
      <c r="B213" s="74"/>
      <c r="E213" s="74"/>
      <c r="F213" s="74"/>
      <c r="G213" s="74"/>
      <c r="H213" s="74"/>
      <c r="I213" s="74"/>
      <c r="J213" s="74"/>
      <c r="K213" s="74"/>
      <c r="L213" s="74"/>
      <c r="M213" s="74"/>
      <c r="N213" s="74"/>
      <c r="O213" s="74"/>
      <c r="P213" s="74"/>
    </row>
    <row r="214" spans="3:11" ht="13.5">
      <c r="C214" s="74" t="s">
        <v>516</v>
      </c>
      <c r="D214" s="74">
        <f>C212-J21</f>
        <v>48.001000000000005</v>
      </c>
      <c r="E214" s="74" t="s">
        <v>473</v>
      </c>
      <c r="F214" s="74" t="s">
        <v>498</v>
      </c>
      <c r="G214" s="74">
        <f>C212+J21</f>
        <v>60.001000000000005</v>
      </c>
      <c r="H214" s="74" t="s">
        <v>473</v>
      </c>
      <c r="I214" s="70" t="s">
        <v>499</v>
      </c>
      <c r="J214" s="70">
        <f>(G214-D214)/5</f>
        <v>2.4</v>
      </c>
      <c r="K214" s="74" t="s">
        <v>473</v>
      </c>
    </row>
    <row r="215" spans="3:11" ht="13.5">
      <c r="C215" s="74" t="s">
        <v>500</v>
      </c>
      <c r="D215" s="74">
        <f>$G$21</f>
        <v>60</v>
      </c>
      <c r="E215" s="74" t="s">
        <v>473</v>
      </c>
      <c r="F215" s="74" t="s">
        <v>501</v>
      </c>
      <c r="G215" s="74">
        <v>90</v>
      </c>
      <c r="H215" s="74" t="s">
        <v>473</v>
      </c>
      <c r="I215" s="70" t="s">
        <v>468</v>
      </c>
      <c r="J215" s="70">
        <f>(G215-D215)/30</f>
        <v>1</v>
      </c>
      <c r="K215" s="74" t="s">
        <v>473</v>
      </c>
    </row>
    <row r="217" spans="9:11" ht="13.5">
      <c r="I217" s="74" t="s">
        <v>502</v>
      </c>
      <c r="J217" s="74" t="s">
        <v>423</v>
      </c>
      <c r="K217" s="74" t="s">
        <v>424</v>
      </c>
    </row>
    <row r="218" spans="2:16" ht="13.5">
      <c r="B218" s="70" t="s">
        <v>503</v>
      </c>
      <c r="C218" s="74" t="s">
        <v>504</v>
      </c>
      <c r="D218" s="74" t="s">
        <v>505</v>
      </c>
      <c r="E218" s="74" t="s">
        <v>506</v>
      </c>
      <c r="F218" s="74" t="s">
        <v>507</v>
      </c>
      <c r="G218" s="70" t="s">
        <v>508</v>
      </c>
      <c r="H218" s="70" t="s">
        <v>509</v>
      </c>
      <c r="I218" s="74" t="str">
        <f>"ω2&gt;ωc"</f>
        <v>ω2&gt;ωc</v>
      </c>
      <c r="J218" s="75" t="str">
        <f>"ωb&lt;ω2&lt;ωc"</f>
        <v>ωb&lt;ω2&lt;ωc</v>
      </c>
      <c r="K218" s="74" t="str">
        <f>"ω2&lt;ωb"</f>
        <v>ω2&lt;ωb</v>
      </c>
      <c r="L218" s="74" t="s">
        <v>510</v>
      </c>
      <c r="M218" s="74" t="s">
        <v>467</v>
      </c>
      <c r="N218" s="74" t="s">
        <v>512</v>
      </c>
      <c r="O218" s="70" t="s">
        <v>513</v>
      </c>
      <c r="P218" s="70" t="s">
        <v>514</v>
      </c>
    </row>
    <row r="219" spans="2:16" ht="13.5">
      <c r="B219" s="74">
        <f>O219*SIN(F219-F$4)</f>
        <v>40.10917659479614</v>
      </c>
      <c r="C219" s="74">
        <f>D214</f>
        <v>48.001000000000005</v>
      </c>
      <c r="D219" s="74">
        <f>D215</f>
        <v>60</v>
      </c>
      <c r="E219" s="74">
        <f>C219*PI()/180</f>
        <v>0.8377754942497982</v>
      </c>
      <c r="F219" s="74">
        <f>D219*PI()/180</f>
        <v>1.0471975511965976</v>
      </c>
      <c r="G219" s="74">
        <f>(0.5*$D$3*$D$9+$D$5)*$D$9/TAN(E219)</f>
        <v>136.29387835306372</v>
      </c>
      <c r="H219" s="74">
        <f>IF(D219&gt;$F$17,I219,IF(D219&lt;$F$16,K219,J219))</f>
        <v>56.61327536344993</v>
      </c>
      <c r="I219" s="74">
        <f aca="true" t="shared" si="102" ref="I219:I240">(0.5*$D$3*$D$9+$D$6)*$D$9/TAN(F219)</f>
        <v>87.39639699857963</v>
      </c>
      <c r="J219" s="74">
        <f aca="true" t="shared" si="103" ref="J219:J250">0.5*$J$18*N219*$D$3+$G$18</f>
        <v>56.61327536344993</v>
      </c>
      <c r="K219" s="74">
        <f aca="true" t="shared" si="104" ref="K219:K240">0.5*$D$3*$D$8^2*(1/TAN(F219)-1/TAN($D$16))+$G$19</f>
        <v>58.03017223313404</v>
      </c>
      <c r="L219" s="74">
        <f>F219+D$14</f>
        <v>1.6352001547441652</v>
      </c>
      <c r="M219" s="74">
        <f aca="true" t="shared" si="105" ref="M219:M250">J$18/SIN(L219)*SIN(J$19)</f>
        <v>3.196152422706631</v>
      </c>
      <c r="N219" s="74">
        <f>M219*SIN(D$17-F219)</f>
        <v>1.1905676074715958</v>
      </c>
      <c r="O219" s="74">
        <f>SIN(E219-F$4)/SIN(E219+F219-2*F$4)*(G219+H219)</f>
        <v>80.21835318959229</v>
      </c>
      <c r="P219" s="74">
        <f>ATAN((O219*COS(F219-F$4)-H219)/(O219*SIN(F219-F$4)))</f>
        <v>0.31022121508428485</v>
      </c>
    </row>
    <row r="220" spans="2:16" ht="13.5">
      <c r="B220" s="74">
        <f aca="true" t="shared" si="106" ref="B220:B276">O220*SIN(F220-F$4)</f>
        <v>40.32479078579986</v>
      </c>
      <c r="C220" s="70">
        <f>C219</f>
        <v>48.001000000000005</v>
      </c>
      <c r="D220" s="70">
        <f>D219+J215</f>
        <v>61</v>
      </c>
      <c r="E220" s="74">
        <f aca="true" t="shared" si="107" ref="E220:E283">C220*PI()/180</f>
        <v>0.8377754942497982</v>
      </c>
      <c r="F220" s="74">
        <f aca="true" t="shared" si="108" ref="F220:F283">D220*PI()/180</f>
        <v>1.064650843716541</v>
      </c>
      <c r="G220" s="74">
        <f aca="true" t="shared" si="109" ref="G220:G283">(0.5*$D$3*$D$9+$D$5)*$D$9/TAN(E220)</f>
        <v>136.29387835306372</v>
      </c>
      <c r="H220" s="74">
        <f aca="true" t="shared" si="110" ref="H220:H283">IF(D220&gt;$F$17,I220,IF(D220&lt;$F$16,K220,J220))</f>
        <v>54.91741842603781</v>
      </c>
      <c r="I220" s="74">
        <f t="shared" si="102"/>
        <v>83.90853266366291</v>
      </c>
      <c r="J220" s="74">
        <f t="shared" si="103"/>
        <v>54.91741842603781</v>
      </c>
      <c r="K220" s="74">
        <f t="shared" si="104"/>
        <v>56.662099930008154</v>
      </c>
      <c r="L220" s="74">
        <f aca="true" t="shared" si="111" ref="L220:L283">F220+D$14</f>
        <v>1.6526534472641083</v>
      </c>
      <c r="M220" s="74">
        <f t="shared" si="105"/>
        <v>3.200241894286732</v>
      </c>
      <c r="N220" s="74">
        <f aca="true" t="shared" si="112" ref="N220:N283">M220*SIN(D$17-F220)</f>
        <v>1.1400769994561701</v>
      </c>
      <c r="O220" s="74">
        <f aca="true" t="shared" si="113" ref="O220:O283">SIN(E220-F$4)/SIN(E220+F220-2*F$4)*(G220+H220)</f>
        <v>78.29477615386426</v>
      </c>
      <c r="P220" s="74">
        <f aca="true" t="shared" si="114" ref="P220:P283">ATAN((O220*COS(F220-F$4)-H220)/(O220*SIN(F220-F$4)))</f>
        <v>0.2936591439369239</v>
      </c>
    </row>
    <row r="221" spans="2:16" ht="13.5">
      <c r="B221" s="74">
        <f t="shared" si="106"/>
        <v>40.51245150879398</v>
      </c>
      <c r="C221" s="70">
        <f aca="true" t="shared" si="115" ref="C221:C249">C220</f>
        <v>48.001000000000005</v>
      </c>
      <c r="D221" s="70">
        <f>D220+J215</f>
        <v>62</v>
      </c>
      <c r="E221" s="74">
        <f t="shared" si="107"/>
        <v>0.8377754942497982</v>
      </c>
      <c r="F221" s="74">
        <f t="shared" si="108"/>
        <v>1.0821041362364843</v>
      </c>
      <c r="G221" s="74">
        <f t="shared" si="109"/>
        <v>136.29387835306372</v>
      </c>
      <c r="H221" s="74">
        <f t="shared" si="110"/>
        <v>53.21669751699319</v>
      </c>
      <c r="I221" s="74">
        <f t="shared" si="102"/>
        <v>80.48751521775635</v>
      </c>
      <c r="J221" s="74">
        <f t="shared" si="103"/>
        <v>53.21669751699319</v>
      </c>
      <c r="K221" s="74">
        <f t="shared" si="104"/>
        <v>55.3202475049003</v>
      </c>
      <c r="L221" s="74">
        <f t="shared" si="111"/>
        <v>1.6701067397840519</v>
      </c>
      <c r="M221" s="74">
        <f t="shared" si="105"/>
        <v>3.205319466443784</v>
      </c>
      <c r="N221" s="74">
        <f t="shared" si="112"/>
        <v>1.0894415768165406</v>
      </c>
      <c r="O221" s="74">
        <f t="shared" si="113"/>
        <v>76.45023354154834</v>
      </c>
      <c r="P221" s="74">
        <f t="shared" si="114"/>
        <v>0.2792531125998883</v>
      </c>
    </row>
    <row r="222" spans="2:16" ht="13.5">
      <c r="B222" s="74">
        <f t="shared" si="106"/>
        <v>40.67339248646698</v>
      </c>
      <c r="C222" s="70">
        <f t="shared" si="115"/>
        <v>48.001000000000005</v>
      </c>
      <c r="D222" s="70">
        <f>D221+J215</f>
        <v>63</v>
      </c>
      <c r="E222" s="74">
        <f t="shared" si="107"/>
        <v>0.8377754942497982</v>
      </c>
      <c r="F222" s="74">
        <f t="shared" si="108"/>
        <v>1.0995574287564276</v>
      </c>
      <c r="G222" s="74">
        <f t="shared" si="109"/>
        <v>136.29387835306372</v>
      </c>
      <c r="H222" s="74">
        <f t="shared" si="110"/>
        <v>51.51005054407396</v>
      </c>
      <c r="I222" s="74">
        <f t="shared" si="102"/>
        <v>77.12941491721917</v>
      </c>
      <c r="J222" s="74">
        <f t="shared" si="103"/>
        <v>51.51005054407396</v>
      </c>
      <c r="K222" s="74">
        <f t="shared" si="104"/>
        <v>54.00307356373172</v>
      </c>
      <c r="L222" s="74">
        <f t="shared" si="111"/>
        <v>1.687560032303995</v>
      </c>
      <c r="M222" s="74">
        <f t="shared" si="105"/>
        <v>3.2113929525108333</v>
      </c>
      <c r="N222" s="74">
        <f t="shared" si="112"/>
        <v>1.0386297179684278</v>
      </c>
      <c r="O222" s="74">
        <f t="shared" si="113"/>
        <v>74.6795397897706</v>
      </c>
      <c r="P222" s="74">
        <f t="shared" si="114"/>
        <v>0.26690957332058307</v>
      </c>
    </row>
    <row r="223" spans="2:16" ht="13.5">
      <c r="B223" s="74">
        <f t="shared" si="106"/>
        <v>40.80871918408501</v>
      </c>
      <c r="C223" s="70">
        <f t="shared" si="115"/>
        <v>48.001000000000005</v>
      </c>
      <c r="D223" s="70">
        <f>D222+J215</f>
        <v>64</v>
      </c>
      <c r="E223" s="74">
        <f t="shared" si="107"/>
        <v>0.8377754942497982</v>
      </c>
      <c r="F223" s="74">
        <f t="shared" si="108"/>
        <v>1.117010721276371</v>
      </c>
      <c r="G223" s="74">
        <f t="shared" si="109"/>
        <v>136.29387835306372</v>
      </c>
      <c r="H223" s="74">
        <f t="shared" si="110"/>
        <v>49.7964007486329</v>
      </c>
      <c r="I223" s="74">
        <f t="shared" si="102"/>
        <v>73.83052059415728</v>
      </c>
      <c r="J223" s="74">
        <f t="shared" si="103"/>
        <v>49.7964007486329</v>
      </c>
      <c r="K223" s="74">
        <f t="shared" si="104"/>
        <v>52.70912244609802</v>
      </c>
      <c r="L223" s="74">
        <f t="shared" si="111"/>
        <v>1.7050133248239385</v>
      </c>
      <c r="M223" s="74">
        <f t="shared" si="105"/>
        <v>3.21847173736185</v>
      </c>
      <c r="N223" s="74">
        <f t="shared" si="112"/>
        <v>0.9876093646658881</v>
      </c>
      <c r="O223" s="74">
        <f t="shared" si="113"/>
        <v>72.97789176292692</v>
      </c>
      <c r="P223" s="74">
        <f t="shared" si="114"/>
        <v>0.2565415376850608</v>
      </c>
    </row>
    <row r="224" spans="2:16" ht="13.5">
      <c r="B224" s="74">
        <f t="shared" si="106"/>
        <v>40.91941943948955</v>
      </c>
      <c r="C224" s="70">
        <f t="shared" si="115"/>
        <v>48.001000000000005</v>
      </c>
      <c r="D224" s="70">
        <f>D223+J215</f>
        <v>65</v>
      </c>
      <c r="E224" s="74">
        <f t="shared" si="107"/>
        <v>0.8377754942497982</v>
      </c>
      <c r="F224" s="74">
        <f t="shared" si="108"/>
        <v>1.1344640137963142</v>
      </c>
      <c r="G224" s="74">
        <f t="shared" si="109"/>
        <v>136.29387835306372</v>
      </c>
      <c r="H224" s="74">
        <f t="shared" si="110"/>
        <v>48.07465394252364</v>
      </c>
      <c r="I224" s="74">
        <f t="shared" si="102"/>
        <v>70.58732175321292</v>
      </c>
      <c r="J224" s="74">
        <f t="shared" si="103"/>
        <v>48.07465394252364</v>
      </c>
      <c r="K224" s="74">
        <f t="shared" si="104"/>
        <v>51.43701720295304</v>
      </c>
      <c r="L224" s="74">
        <f t="shared" si="111"/>
        <v>1.7224666173438816</v>
      </c>
      <c r="M224" s="74">
        <f t="shared" si="105"/>
        <v>3.2265668130425462</v>
      </c>
      <c r="N224" s="74">
        <f t="shared" si="112"/>
        <v>0.9363479397359457</v>
      </c>
      <c r="O224" s="74">
        <f t="shared" si="113"/>
        <v>71.34083070045372</v>
      </c>
      <c r="P224" s="74">
        <f t="shared" si="114"/>
        <v>0.2480693669882188</v>
      </c>
    </row>
    <row r="225" spans="2:16" ht="13.5">
      <c r="B225" s="74">
        <f t="shared" si="106"/>
        <v>41.006372763820394</v>
      </c>
      <c r="C225" s="70">
        <f t="shared" si="115"/>
        <v>48.001000000000005</v>
      </c>
      <c r="D225" s="70">
        <f>D224+J215</f>
        <v>66</v>
      </c>
      <c r="E225" s="74">
        <f t="shared" si="107"/>
        <v>0.8377754942497982</v>
      </c>
      <c r="F225" s="74">
        <f t="shared" si="108"/>
        <v>1.1519173063162575</v>
      </c>
      <c r="G225" s="74">
        <f t="shared" si="109"/>
        <v>136.29387835306372</v>
      </c>
      <c r="H225" s="74">
        <f t="shared" si="110"/>
        <v>46.34369565210348</v>
      </c>
      <c r="I225" s="74">
        <f t="shared" si="102"/>
        <v>67.39649223857965</v>
      </c>
      <c r="J225" s="74">
        <f t="shared" si="103"/>
        <v>46.34369565210348</v>
      </c>
      <c r="K225" s="74">
        <f t="shared" si="104"/>
        <v>50.18545319019432</v>
      </c>
      <c r="L225" s="74">
        <f t="shared" si="111"/>
        <v>1.7399199098638252</v>
      </c>
      <c r="M225" s="74">
        <f t="shared" si="105"/>
        <v>3.235690820800044</v>
      </c>
      <c r="N225" s="74">
        <f t="shared" si="112"/>
        <v>0.8848122620472225</v>
      </c>
      <c r="O225" s="74">
        <f t="shared" si="113"/>
        <v>69.76420827825777</v>
      </c>
      <c r="P225" s="74">
        <f t="shared" si="114"/>
        <v>0.24142120587249652</v>
      </c>
    </row>
    <row r="226" spans="2:16" ht="13.5">
      <c r="B226" s="74">
        <f t="shared" si="106"/>
        <v>41.070358471656256</v>
      </c>
      <c r="C226" s="70">
        <f t="shared" si="115"/>
        <v>48.001000000000005</v>
      </c>
      <c r="D226" s="70">
        <f>D225+J215</f>
        <v>67</v>
      </c>
      <c r="E226" s="74">
        <f t="shared" si="107"/>
        <v>0.8377754942497982</v>
      </c>
      <c r="F226" s="74">
        <f t="shared" si="108"/>
        <v>1.1693705988362006</v>
      </c>
      <c r="G226" s="74">
        <f t="shared" si="109"/>
        <v>136.29387835306372</v>
      </c>
      <c r="H226" s="74">
        <f t="shared" si="110"/>
        <v>44.602388153158174</v>
      </c>
      <c r="I226" s="74">
        <f t="shared" si="102"/>
        <v>64.25487530372895</v>
      </c>
      <c r="J226" s="74">
        <f t="shared" si="103"/>
        <v>44.602388153158174</v>
      </c>
      <c r="K226" s="74">
        <f t="shared" si="104"/>
        <v>48.95319221244529</v>
      </c>
      <c r="L226" s="74">
        <f t="shared" si="111"/>
        <v>1.7573732023837683</v>
      </c>
      <c r="M226" s="74">
        <f t="shared" si="105"/>
        <v>3.2458580998131934</v>
      </c>
      <c r="N226" s="74">
        <f t="shared" si="112"/>
        <v>0.8329684582310031</v>
      </c>
      <c r="O226" s="74">
        <f t="shared" si="113"/>
        <v>68.24415624679389</v>
      </c>
      <c r="P226" s="74">
        <f t="shared" si="114"/>
        <v>0.23653315041239162</v>
      </c>
    </row>
    <row r="227" spans="2:16" ht="13.5">
      <c r="B227" s="74">
        <f t="shared" si="106"/>
        <v>41.112062775330116</v>
      </c>
      <c r="C227" s="70">
        <f t="shared" si="115"/>
        <v>48.001000000000005</v>
      </c>
      <c r="D227" s="70">
        <f>D226+J215</f>
        <v>68</v>
      </c>
      <c r="E227" s="74">
        <f t="shared" si="107"/>
        <v>0.8377754942497982</v>
      </c>
      <c r="F227" s="74">
        <f t="shared" si="108"/>
        <v>1.1868238913561442</v>
      </c>
      <c r="G227" s="74">
        <f t="shared" si="109"/>
        <v>136.29387835306372</v>
      </c>
      <c r="H227" s="74">
        <f t="shared" si="110"/>
        <v>42.84956737955771</v>
      </c>
      <c r="I227" s="74">
        <f t="shared" si="102"/>
        <v>61.15946993579685</v>
      </c>
      <c r="J227" s="74">
        <f t="shared" si="103"/>
        <v>42.84956737955771</v>
      </c>
      <c r="K227" s="74">
        <f t="shared" si="104"/>
        <v>47.739057158962424</v>
      </c>
      <c r="L227" s="74">
        <f t="shared" si="111"/>
        <v>1.7748264949037118</v>
      </c>
      <c r="M227" s="74">
        <f t="shared" si="105"/>
        <v>3.2570847429771757</v>
      </c>
      <c r="N227" s="74">
        <f t="shared" si="112"/>
        <v>0.7807818706428962</v>
      </c>
      <c r="O227" s="74">
        <f t="shared" si="113"/>
        <v>66.77705918432464</v>
      </c>
      <c r="P227" s="74">
        <f t="shared" si="114"/>
        <v>0.23334922202411207</v>
      </c>
    </row>
    <row r="228" spans="2:16" ht="13.5">
      <c r="B228" s="74">
        <f t="shared" si="106"/>
        <v>41.13208495789148</v>
      </c>
      <c r="C228" s="70">
        <f t="shared" si="115"/>
        <v>48.001000000000005</v>
      </c>
      <c r="D228" s="70">
        <f>D227+J215</f>
        <v>69</v>
      </c>
      <c r="E228" s="74">
        <f t="shared" si="107"/>
        <v>0.8377754942497982</v>
      </c>
      <c r="F228" s="74">
        <f t="shared" si="108"/>
        <v>1.2042771838760873</v>
      </c>
      <c r="G228" s="74">
        <f t="shared" si="109"/>
        <v>136.29387835306372</v>
      </c>
      <c r="H228" s="74">
        <f t="shared" si="110"/>
        <v>41.08403968726031</v>
      </c>
      <c r="I228" s="74">
        <f t="shared" si="102"/>
        <v>58.107418303486085</v>
      </c>
      <c r="J228" s="74">
        <f t="shared" si="103"/>
        <v>41.08403968726031</v>
      </c>
      <c r="K228" s="74">
        <f t="shared" si="104"/>
        <v>46.54192708022782</v>
      </c>
      <c r="L228" s="74">
        <f t="shared" si="111"/>
        <v>1.792279787423655</v>
      </c>
      <c r="M228" s="74">
        <f t="shared" si="105"/>
        <v>3.2693886601519666</v>
      </c>
      <c r="N228" s="74">
        <f t="shared" si="112"/>
        <v>0.7282169610177962</v>
      </c>
      <c r="O228" s="74">
        <f t="shared" si="113"/>
        <v>65.35952996735828</v>
      </c>
      <c r="P228" s="74">
        <f t="shared" si="114"/>
        <v>0.23182120142247414</v>
      </c>
    </row>
    <row r="229" spans="2:16" ht="13.5">
      <c r="B229" s="74">
        <f t="shared" si="106"/>
        <v>41.13094272190747</v>
      </c>
      <c r="C229" s="70">
        <f t="shared" si="115"/>
        <v>48.001000000000005</v>
      </c>
      <c r="D229" s="70">
        <f>D228+J215</f>
        <v>70</v>
      </c>
      <c r="E229" s="74">
        <f t="shared" si="107"/>
        <v>0.8377754942497982</v>
      </c>
      <c r="F229" s="74">
        <f t="shared" si="108"/>
        <v>1.2217304763960306</v>
      </c>
      <c r="G229" s="74">
        <f t="shared" si="109"/>
        <v>136.29387835306372</v>
      </c>
      <c r="H229" s="74">
        <f t="shared" si="110"/>
        <v>39.30457845389725</v>
      </c>
      <c r="I229" s="74">
        <f t="shared" si="102"/>
        <v>55.09599421204639</v>
      </c>
      <c r="J229" s="74">
        <f t="shared" si="103"/>
        <v>39.30457845389725</v>
      </c>
      <c r="K229" s="74">
        <f t="shared" si="104"/>
        <v>45.360732659555765</v>
      </c>
      <c r="L229" s="74">
        <f t="shared" si="111"/>
        <v>1.809733079943598</v>
      </c>
      <c r="M229" s="74">
        <f t="shared" si="105"/>
        <v>3.2827896493451227</v>
      </c>
      <c r="N229" s="74">
        <f t="shared" si="112"/>
        <v>0.6752372092296027</v>
      </c>
      <c r="O229" s="74">
        <f t="shared" si="113"/>
        <v>63.98838761370232</v>
      </c>
      <c r="P229" s="74">
        <f t="shared" si="114"/>
        <v>0.23190836244556715</v>
      </c>
    </row>
    <row r="230" spans="2:16" ht="13.5">
      <c r="B230" s="74">
        <f t="shared" si="106"/>
        <v>41.10907679648657</v>
      </c>
      <c r="C230" s="70">
        <f t="shared" si="115"/>
        <v>48.001000000000005</v>
      </c>
      <c r="D230" s="70">
        <f>D229+J215</f>
        <v>71</v>
      </c>
      <c r="E230" s="74">
        <f t="shared" si="107"/>
        <v>0.8377754942497982</v>
      </c>
      <c r="F230" s="74">
        <f t="shared" si="108"/>
        <v>1.239183768915974</v>
      </c>
      <c r="G230" s="74">
        <f t="shared" si="109"/>
        <v>136.29387835306372</v>
      </c>
      <c r="H230" s="74">
        <f t="shared" si="110"/>
        <v>37.50992049257642</v>
      </c>
      <c r="I230" s="74">
        <f t="shared" si="102"/>
        <v>52.12259246172309</v>
      </c>
      <c r="J230" s="74">
        <f t="shared" si="103"/>
        <v>37.50992049257642</v>
      </c>
      <c r="K230" s="74">
        <f t="shared" si="104"/>
        <v>44.19445203907388</v>
      </c>
      <c r="L230" s="74">
        <f t="shared" si="111"/>
        <v>1.8271863724635415</v>
      </c>
      <c r="M230" s="74">
        <f t="shared" si="105"/>
        <v>3.297309476365921</v>
      </c>
      <c r="N230" s="74">
        <f t="shared" si="112"/>
        <v>0.6218050065196917</v>
      </c>
      <c r="O230" s="74">
        <f t="shared" si="113"/>
        <v>62.66063719867102</v>
      </c>
      <c r="P230" s="74">
        <f t="shared" si="114"/>
        <v>0.2335771337268644</v>
      </c>
    </row>
    <row r="231" spans="2:16" ht="13.5">
      <c r="B231" s="74">
        <f t="shared" si="106"/>
        <v>41.06685487214089</v>
      </c>
      <c r="C231" s="70">
        <f t="shared" si="115"/>
        <v>48.001000000000005</v>
      </c>
      <c r="D231" s="70">
        <f>D230+J215</f>
        <v>72</v>
      </c>
      <c r="E231" s="74">
        <f t="shared" si="107"/>
        <v>0.8377754942497982</v>
      </c>
      <c r="F231" s="74">
        <f t="shared" si="108"/>
        <v>1.2566370614359172</v>
      </c>
      <c r="G231" s="74">
        <f t="shared" si="109"/>
        <v>136.29387835306372</v>
      </c>
      <c r="H231" s="74">
        <f t="shared" si="110"/>
        <v>35.698762256707205</v>
      </c>
      <c r="I231" s="74">
        <f t="shared" si="102"/>
        <v>49.18471901725621</v>
      </c>
      <c r="J231" s="74">
        <f t="shared" si="103"/>
        <v>35.698762256707205</v>
      </c>
      <c r="K231" s="74">
        <f t="shared" si="104"/>
        <v>43.042106963828815</v>
      </c>
      <c r="L231" s="74">
        <f t="shared" si="111"/>
        <v>1.8446396649834846</v>
      </c>
      <c r="M231" s="74">
        <f t="shared" si="105"/>
        <v>3.3129719635610875</v>
      </c>
      <c r="N231" s="74">
        <f t="shared" si="112"/>
        <v>0.5678815425034818</v>
      </c>
      <c r="O231" s="74">
        <f t="shared" si="113"/>
        <v>61.37345158310771</v>
      </c>
      <c r="P231" s="74">
        <f t="shared" si="114"/>
        <v>0.23680070657861177</v>
      </c>
    </row>
    <row r="232" spans="2:16" ht="13.5">
      <c r="B232" s="74">
        <f t="shared" si="106"/>
        <v>41.00457492201227</v>
      </c>
      <c r="C232" s="70">
        <f t="shared" si="115"/>
        <v>48.001000000000005</v>
      </c>
      <c r="D232" s="70">
        <f>D231+J215</f>
        <v>73</v>
      </c>
      <c r="E232" s="74">
        <f t="shared" si="107"/>
        <v>0.8377754942497982</v>
      </c>
      <c r="F232" s="74">
        <f t="shared" si="108"/>
        <v>1.2740903539558606</v>
      </c>
      <c r="G232" s="74">
        <f t="shared" si="109"/>
        <v>136.29387835306372</v>
      </c>
      <c r="H232" s="74">
        <f t="shared" si="110"/>
        <v>33.86975581055276</v>
      </c>
      <c r="I232" s="74">
        <f t="shared" si="102"/>
        <v>46.27998190580472</v>
      </c>
      <c r="J232" s="74">
        <f t="shared" si="103"/>
        <v>33.86975581055276</v>
      </c>
      <c r="K232" s="74">
        <f t="shared" si="104"/>
        <v>41.90275921160796</v>
      </c>
      <c r="L232" s="74">
        <f t="shared" si="111"/>
        <v>1.8620929575034282</v>
      </c>
      <c r="M232" s="74">
        <f t="shared" si="105"/>
        <v>3.3298030883232532</v>
      </c>
      <c r="N232" s="74">
        <f t="shared" si="112"/>
        <v>0.5134266852020202</v>
      </c>
      <c r="O232" s="74">
        <f t="shared" si="113"/>
        <v>60.12415472414713</v>
      </c>
      <c r="P232" s="74">
        <f t="shared" si="114"/>
        <v>0.24155859968604704</v>
      </c>
    </row>
    <row r="233" spans="2:16" ht="13.5">
      <c r="B233" s="74">
        <f t="shared" si="106"/>
        <v>40.92246795827708</v>
      </c>
      <c r="C233" s="70">
        <f t="shared" si="115"/>
        <v>48.001000000000005</v>
      </c>
      <c r="D233" s="70">
        <f>D232+J215</f>
        <v>74</v>
      </c>
      <c r="E233" s="74">
        <f t="shared" si="107"/>
        <v>0.8377754942497982</v>
      </c>
      <c r="F233" s="74">
        <f t="shared" si="108"/>
        <v>1.2915436464758039</v>
      </c>
      <c r="G233" s="74">
        <f t="shared" si="109"/>
        <v>136.29387835306372</v>
      </c>
      <c r="H233" s="74">
        <f t="shared" si="110"/>
        <v>32.02150453781869</v>
      </c>
      <c r="I233" s="74">
        <f t="shared" si="102"/>
        <v>43.40608276923955</v>
      </c>
      <c r="J233" s="74">
        <f t="shared" si="103"/>
        <v>32.02150453781869</v>
      </c>
      <c r="K233" s="74">
        <f t="shared" si="104"/>
        <v>40.77550727942922</v>
      </c>
      <c r="L233" s="74">
        <f t="shared" si="111"/>
        <v>1.8795462500233713</v>
      </c>
      <c r="M233" s="74">
        <f t="shared" si="105"/>
        <v>3.347831092152982</v>
      </c>
      <c r="N233" s="74">
        <f t="shared" si="112"/>
        <v>0.4583988532741495</v>
      </c>
      <c r="O233" s="74">
        <f t="shared" si="113"/>
        <v>58.910206366962015</v>
      </c>
      <c r="P233" s="74">
        <f t="shared" si="114"/>
        <v>0.24783618494682955</v>
      </c>
    </row>
    <row r="234" spans="2:16" ht="13.5">
      <c r="B234" s="74">
        <f t="shared" si="106"/>
        <v>40.820700263959644</v>
      </c>
      <c r="C234" s="70">
        <f t="shared" si="115"/>
        <v>48.001000000000005</v>
      </c>
      <c r="D234" s="70">
        <f>D233+J215</f>
        <v>75</v>
      </c>
      <c r="E234" s="74">
        <f t="shared" si="107"/>
        <v>0.8377754942497982</v>
      </c>
      <c r="F234" s="74">
        <f t="shared" si="108"/>
        <v>1.3089969389957472</v>
      </c>
      <c r="G234" s="74">
        <f t="shared" si="109"/>
        <v>136.29387835306372</v>
      </c>
      <c r="H234" s="74">
        <f t="shared" si="110"/>
        <v>30.152558557855457</v>
      </c>
      <c r="I234" s="74">
        <f t="shared" si="102"/>
        <v>40.560809004261195</v>
      </c>
      <c r="J234" s="74">
        <f t="shared" si="103"/>
        <v>30.152558557855457</v>
      </c>
      <c r="K234" s="74">
        <f t="shared" si="104"/>
        <v>39.65948330059791</v>
      </c>
      <c r="L234" s="74">
        <f t="shared" si="111"/>
        <v>1.8969995425433148</v>
      </c>
      <c r="M234" s="74">
        <f t="shared" si="105"/>
        <v>3.3670866011551928</v>
      </c>
      <c r="N234" s="74">
        <f t="shared" si="112"/>
        <v>0.4027548795434824</v>
      </c>
      <c r="O234" s="74">
        <f t="shared" si="113"/>
        <v>57.7291879388587</v>
      </c>
      <c r="P234" s="74">
        <f t="shared" si="114"/>
        <v>0.25562417372368323</v>
      </c>
    </row>
    <row r="235" spans="2:16" ht="13.5">
      <c r="B235" s="74">
        <f t="shared" si="106"/>
        <v>40.69937513271433</v>
      </c>
      <c r="C235" s="70">
        <f t="shared" si="115"/>
        <v>48.001000000000005</v>
      </c>
      <c r="D235" s="70">
        <f>D234+J215</f>
        <v>76</v>
      </c>
      <c r="E235" s="74">
        <f t="shared" si="107"/>
        <v>0.8377754942497982</v>
      </c>
      <c r="F235" s="74">
        <f t="shared" si="108"/>
        <v>1.3264502315156903</v>
      </c>
      <c r="G235" s="74">
        <f t="shared" si="109"/>
        <v>136.29387835306372</v>
      </c>
      <c r="H235" s="74">
        <f t="shared" si="110"/>
        <v>28.2614098159386</v>
      </c>
      <c r="I235" s="74">
        <f t="shared" si="102"/>
        <v>37.7420264303865</v>
      </c>
      <c r="J235" s="74">
        <f t="shared" si="103"/>
        <v>28.2614098159386</v>
      </c>
      <c r="K235" s="74">
        <f t="shared" si="104"/>
        <v>38.55385016881386</v>
      </c>
      <c r="L235" s="74">
        <f t="shared" si="111"/>
        <v>1.914452835063258</v>
      </c>
      <c r="M235" s="74">
        <f t="shared" si="105"/>
        <v>3.3876027589624966</v>
      </c>
      <c r="N235" s="74">
        <f t="shared" si="112"/>
        <v>0.34644986482172163</v>
      </c>
      <c r="O235" s="74">
        <f t="shared" si="113"/>
        <v>56.57878948662908</v>
      </c>
      <c r="P235" s="74">
        <f t="shared" si="114"/>
        <v>0.2649180586781774</v>
      </c>
    </row>
    <row r="236" spans="2:16" ht="13.5">
      <c r="B236" s="74">
        <f t="shared" si="106"/>
        <v>40.55853414219547</v>
      </c>
      <c r="C236" s="70">
        <f t="shared" si="115"/>
        <v>48.001000000000005</v>
      </c>
      <c r="D236" s="70">
        <f>D235+J215</f>
        <v>77</v>
      </c>
      <c r="E236" s="74">
        <f t="shared" si="107"/>
        <v>0.8377754942497982</v>
      </c>
      <c r="F236" s="74">
        <f t="shared" si="108"/>
        <v>1.3439035240356338</v>
      </c>
      <c r="G236" s="74">
        <f t="shared" si="109"/>
        <v>136.29387835306372</v>
      </c>
      <c r="H236" s="74">
        <f t="shared" si="110"/>
        <v>26.34648681054474</v>
      </c>
      <c r="I236" s="74">
        <f t="shared" si="102"/>
        <v>34.9476724316321</v>
      </c>
      <c r="J236" s="74">
        <f t="shared" si="103"/>
        <v>26.34648681054474</v>
      </c>
      <c r="K236" s="74">
        <f t="shared" si="104"/>
        <v>37.4577988480803</v>
      </c>
      <c r="L236" s="74">
        <f t="shared" si="111"/>
        <v>1.9319061275832015</v>
      </c>
      <c r="M236" s="74">
        <f t="shared" si="105"/>
        <v>3.409415373203253</v>
      </c>
      <c r="N236" s="74">
        <f t="shared" si="112"/>
        <v>0.2894370209242849</v>
      </c>
      <c r="O236" s="74">
        <f t="shared" si="113"/>
        <v>55.45679751452882</v>
      </c>
      <c r="P236" s="74">
        <f t="shared" si="114"/>
        <v>0.27571750306209575</v>
      </c>
    </row>
    <row r="237" spans="2:16" ht="13.5">
      <c r="B237" s="74">
        <f t="shared" si="106"/>
        <v>40.398157980265246</v>
      </c>
      <c r="C237" s="70">
        <f t="shared" si="115"/>
        <v>48.001000000000005</v>
      </c>
      <c r="D237" s="70">
        <f>D236+J215</f>
        <v>78</v>
      </c>
      <c r="E237" s="74">
        <f t="shared" si="107"/>
        <v>0.8377754942497982</v>
      </c>
      <c r="F237" s="74">
        <f t="shared" si="108"/>
        <v>1.361356816555577</v>
      </c>
      <c r="G237" s="74">
        <f t="shared" si="109"/>
        <v>136.29387835306372</v>
      </c>
      <c r="H237" s="74">
        <f t="shared" si="110"/>
        <v>24.40614891650218</v>
      </c>
      <c r="I237" s="74">
        <f t="shared" si="102"/>
        <v>32.17574952279962</v>
      </c>
      <c r="J237" s="74">
        <f t="shared" si="103"/>
        <v>24.40614891650218</v>
      </c>
      <c r="K237" s="74">
        <f t="shared" si="104"/>
        <v>36.370545849157565</v>
      </c>
      <c r="L237" s="74">
        <f t="shared" si="111"/>
        <v>1.9493594201031446</v>
      </c>
      <c r="M237" s="74">
        <f t="shared" si="105"/>
        <v>3.4325630767730444</v>
      </c>
      <c r="N237" s="74">
        <f t="shared" si="112"/>
        <v>0.23166750165393885</v>
      </c>
      <c r="O237" s="74">
        <f t="shared" si="113"/>
        <v>54.36108359405394</v>
      </c>
      <c r="P237" s="74">
        <f t="shared" si="114"/>
        <v>0.28802566678095926</v>
      </c>
    </row>
    <row r="238" spans="2:16" ht="13.5">
      <c r="B238" s="74">
        <f t="shared" si="106"/>
        <v>40.218166837350026</v>
      </c>
      <c r="C238" s="70">
        <f t="shared" si="115"/>
        <v>48.001000000000005</v>
      </c>
      <c r="D238" s="70">
        <f>D237+J215</f>
        <v>79</v>
      </c>
      <c r="E238" s="74">
        <f t="shared" si="107"/>
        <v>0.8377754942497982</v>
      </c>
      <c r="F238" s="74">
        <f t="shared" si="108"/>
        <v>1.3788101090755203</v>
      </c>
      <c r="G238" s="74">
        <f t="shared" si="109"/>
        <v>136.29387835306372</v>
      </c>
      <c r="H238" s="74">
        <f t="shared" si="110"/>
        <v>22.438680258289008</v>
      </c>
      <c r="I238" s="74">
        <f t="shared" si="102"/>
        <v>29.424319295722153</v>
      </c>
      <c r="J238" s="74">
        <f t="shared" si="103"/>
        <v>22.438680258289008</v>
      </c>
      <c r="K238" s="74">
        <f t="shared" si="104"/>
        <v>35.29133085505204</v>
      </c>
      <c r="L238" s="74">
        <f t="shared" si="111"/>
        <v>1.9668127126230877</v>
      </c>
      <c r="M238" s="74">
        <f t="shared" si="105"/>
        <v>3.4570875053272205</v>
      </c>
      <c r="N238" s="74">
        <f t="shared" si="112"/>
        <v>0.17309022039101127</v>
      </c>
      <c r="O238" s="74">
        <f t="shared" si="113"/>
        <v>53.289593628159054</v>
      </c>
      <c r="P238" s="74">
        <f t="shared" si="114"/>
        <v>0.3018484567138642</v>
      </c>
    </row>
    <row r="239" spans="2:16" ht="13.5">
      <c r="B239" s="74">
        <f t="shared" si="106"/>
        <v>40.018420372619296</v>
      </c>
      <c r="C239" s="70">
        <f t="shared" si="115"/>
        <v>48.001000000000005</v>
      </c>
      <c r="D239" s="70">
        <f>D238+J215</f>
        <v>80</v>
      </c>
      <c r="E239" s="74">
        <f t="shared" si="107"/>
        <v>0.8377754942497982</v>
      </c>
      <c r="F239" s="74">
        <f t="shared" si="108"/>
        <v>1.3962634015954636</v>
      </c>
      <c r="G239" s="74">
        <f t="shared" si="109"/>
        <v>136.29387835306372</v>
      </c>
      <c r="H239" s="74">
        <f t="shared" si="110"/>
        <v>20.442283082501756</v>
      </c>
      <c r="I239" s="74">
        <f t="shared" si="102"/>
        <v>26.691496704743898</v>
      </c>
      <c r="J239" s="74">
        <f t="shared" si="103"/>
        <v>20.442283082501756</v>
      </c>
      <c r="K239" s="74">
        <f t="shared" si="104"/>
        <v>34.21941447956511</v>
      </c>
      <c r="L239" s="74">
        <f t="shared" si="111"/>
        <v>1.9842660051430312</v>
      </c>
      <c r="M239" s="74">
        <f t="shared" si="105"/>
        <v>3.483033492591896</v>
      </c>
      <c r="N239" s="74">
        <f t="shared" si="112"/>
        <v>0.1136516527724497</v>
      </c>
      <c r="O239" s="74">
        <f t="shared" si="113"/>
        <v>52.24033766198059</v>
      </c>
      <c r="P239" s="74">
        <f t="shared" si="114"/>
        <v>0.3171936877594595</v>
      </c>
    </row>
    <row r="240" spans="2:16" ht="13.5">
      <c r="B240" s="74">
        <f t="shared" si="106"/>
        <v>39.79871725621004</v>
      </c>
      <c r="C240" s="70">
        <f t="shared" si="115"/>
        <v>48.001000000000005</v>
      </c>
      <c r="D240" s="70">
        <f>D239+J215</f>
        <v>81</v>
      </c>
      <c r="E240" s="74">
        <f t="shared" si="107"/>
        <v>0.8377754942497982</v>
      </c>
      <c r="F240" s="74">
        <f t="shared" si="108"/>
        <v>1.413716694115407</v>
      </c>
      <c r="G240" s="74">
        <f t="shared" si="109"/>
        <v>136.29387835306372</v>
      </c>
      <c r="H240" s="74">
        <f t="shared" si="110"/>
        <v>18.415070572518374</v>
      </c>
      <c r="I240" s="74">
        <f t="shared" si="102"/>
        <v>23.97544465412669</v>
      </c>
      <c r="J240" s="74">
        <f t="shared" si="103"/>
        <v>18.415070572518374</v>
      </c>
      <c r="K240" s="74">
        <f t="shared" si="104"/>
        <v>33.15407614426935</v>
      </c>
      <c r="L240" s="74">
        <f t="shared" si="111"/>
        <v>2.0017192976629743</v>
      </c>
      <c r="M240" s="74">
        <f t="shared" si="105"/>
        <v>3.510449285294637</v>
      </c>
      <c r="N240" s="74">
        <f t="shared" si="112"/>
        <v>0.053295622763378</v>
      </c>
      <c r="O240" s="74">
        <f t="shared" si="113"/>
        <v>51.21138013970574</v>
      </c>
      <c r="P240" s="74">
        <f t="shared" si="114"/>
        <v>0.3340701410471849</v>
      </c>
    </row>
    <row r="241" spans="2:16" ht="13.5">
      <c r="B241" s="74">
        <f t="shared" si="106"/>
        <v>40.83362769083274</v>
      </c>
      <c r="C241" s="70">
        <f t="shared" si="115"/>
        <v>48.001000000000005</v>
      </c>
      <c r="D241" s="70">
        <f>D240+J215</f>
        <v>82</v>
      </c>
      <c r="E241" s="74">
        <f t="shared" si="107"/>
        <v>0.8377754942497982</v>
      </c>
      <c r="F241" s="74">
        <f t="shared" si="108"/>
        <v>1.43116998663535</v>
      </c>
      <c r="G241" s="74">
        <f t="shared" si="109"/>
        <v>136.29387835306372</v>
      </c>
      <c r="H241" s="74">
        <f t="shared" si="110"/>
        <v>21.274368853074545</v>
      </c>
      <c r="I241" s="74">
        <f aca="true" t="shared" si="116" ref="I241:I294">(0.5*$D$3*$D$9+$D$6)*$D$9/TAN(F241)</f>
        <v>21.274368853074545</v>
      </c>
      <c r="J241" s="74">
        <f t="shared" si="103"/>
        <v>16.355059041525283</v>
      </c>
      <c r="K241" s="74">
        <f aca="true" t="shared" si="117" ref="K241:K294">0.5*$D$3*$D$8^2*(1/TAN(F241)-1/TAN($D$16))+$G$19</f>
        <v>32.09461206045451</v>
      </c>
      <c r="L241" s="74">
        <f t="shared" si="111"/>
        <v>2.0191725901829174</v>
      </c>
      <c r="M241" s="74">
        <f t="shared" si="105"/>
        <v>3.539386779747792</v>
      </c>
      <c r="N241" s="74">
        <f t="shared" si="112"/>
        <v>-0.008036929779261789</v>
      </c>
      <c r="O241" s="74">
        <f t="shared" si="113"/>
        <v>51.818617327158805</v>
      </c>
      <c r="P241" s="74">
        <f t="shared" si="114"/>
        <v>0.25463446082486757</v>
      </c>
    </row>
    <row r="242" spans="2:16" ht="13.5">
      <c r="B242" s="74">
        <f t="shared" si="106"/>
        <v>40.427610248701946</v>
      </c>
      <c r="C242" s="70">
        <f t="shared" si="115"/>
        <v>48.001000000000005</v>
      </c>
      <c r="D242" s="70">
        <f>D241+J215</f>
        <v>83</v>
      </c>
      <c r="E242" s="74">
        <f t="shared" si="107"/>
        <v>0.8377754942497982</v>
      </c>
      <c r="F242" s="74">
        <f t="shared" si="108"/>
        <v>1.4486232791552935</v>
      </c>
      <c r="G242" s="74">
        <f t="shared" si="109"/>
        <v>136.29387835306372</v>
      </c>
      <c r="H242" s="74">
        <f t="shared" si="110"/>
        <v>18.586512906677186</v>
      </c>
      <c r="I242" s="74">
        <f t="shared" si="116"/>
        <v>18.586512906677186</v>
      </c>
      <c r="J242" s="74">
        <f t="shared" si="103"/>
        <v>14.26015943222883</v>
      </c>
      <c r="K242" s="74">
        <f t="shared" si="117"/>
        <v>31.040333303609955</v>
      </c>
      <c r="L242" s="74">
        <f t="shared" si="111"/>
        <v>2.036625882702861</v>
      </c>
      <c r="M242" s="74">
        <f t="shared" si="105"/>
        <v>3.569901782381449</v>
      </c>
      <c r="N242" s="74">
        <f t="shared" si="112"/>
        <v>-0.0704082021850964</v>
      </c>
      <c r="O242" s="74">
        <f t="shared" si="113"/>
        <v>50.62085236644179</v>
      </c>
      <c r="P242" s="74">
        <f t="shared" si="114"/>
        <v>0.28576463038871314</v>
      </c>
    </row>
    <row r="243" spans="2:16" ht="13.5">
      <c r="B243" s="74">
        <f t="shared" si="106"/>
        <v>40.01111972005073</v>
      </c>
      <c r="C243" s="70">
        <f t="shared" si="115"/>
        <v>48.001000000000005</v>
      </c>
      <c r="D243" s="70">
        <f>D242+J215</f>
        <v>84</v>
      </c>
      <c r="E243" s="74">
        <f t="shared" si="107"/>
        <v>0.8377754942497982</v>
      </c>
      <c r="F243" s="74">
        <f t="shared" si="108"/>
        <v>1.4660765716752369</v>
      </c>
      <c r="G243" s="74">
        <f t="shared" si="109"/>
        <v>136.29387835306372</v>
      </c>
      <c r="H243" s="74">
        <f t="shared" si="110"/>
        <v>15.910153613341771</v>
      </c>
      <c r="I243" s="74">
        <f t="shared" si="116"/>
        <v>15.910153613341771</v>
      </c>
      <c r="J243" s="74">
        <f t="shared" si="103"/>
        <v>12.128168042573405</v>
      </c>
      <c r="K243" s="74">
        <f t="shared" si="117"/>
        <v>29.990563968899536</v>
      </c>
      <c r="L243" s="74">
        <f t="shared" si="111"/>
        <v>2.0540791752228045</v>
      </c>
      <c r="M243" s="74">
        <f t="shared" si="105"/>
        <v>3.602054296824678</v>
      </c>
      <c r="N243" s="74">
        <f t="shared" si="112"/>
        <v>-0.1338838050927462</v>
      </c>
      <c r="O243" s="74">
        <f t="shared" si="113"/>
        <v>49.45646382986506</v>
      </c>
      <c r="P243" s="74">
        <f t="shared" si="114"/>
        <v>0.3177545668039494</v>
      </c>
    </row>
    <row r="244" spans="2:16" ht="13.5">
      <c r="B244" s="74">
        <f t="shared" si="106"/>
        <v>39.584177084627306</v>
      </c>
      <c r="C244" s="70">
        <f t="shared" si="115"/>
        <v>48.001000000000005</v>
      </c>
      <c r="D244" s="70">
        <f>D243+J215</f>
        <v>85</v>
      </c>
      <c r="E244" s="74">
        <f t="shared" si="107"/>
        <v>0.8377754942497982</v>
      </c>
      <c r="F244" s="74">
        <f t="shared" si="108"/>
        <v>1.4835298641951802</v>
      </c>
      <c r="G244" s="74">
        <f t="shared" si="109"/>
        <v>136.29387835306372</v>
      </c>
      <c r="H244" s="74">
        <f t="shared" si="110"/>
        <v>13.24359644123674</v>
      </c>
      <c r="I244" s="74">
        <f t="shared" si="116"/>
        <v>13.24359644123674</v>
      </c>
      <c r="J244" s="74">
        <f t="shared" si="103"/>
        <v>9.956756386451493</v>
      </c>
      <c r="K244" s="74">
        <f t="shared" si="117"/>
        <v>28.944639396851734</v>
      </c>
      <c r="L244" s="74">
        <f t="shared" si="111"/>
        <v>2.0715324677427476</v>
      </c>
      <c r="M244" s="74">
        <f t="shared" si="105"/>
        <v>3.6359088404790922</v>
      </c>
      <c r="N244" s="74">
        <f t="shared" si="112"/>
        <v>-0.1985330643260647</v>
      </c>
      <c r="O244" s="74">
        <f t="shared" si="113"/>
        <v>48.32335750194655</v>
      </c>
      <c r="P244" s="74">
        <f t="shared" si="114"/>
        <v>0.35053914751066906</v>
      </c>
    </row>
    <row r="245" spans="2:16" ht="13.5">
      <c r="B245" s="74">
        <f t="shared" si="106"/>
        <v>39.14677127257274</v>
      </c>
      <c r="C245" s="70">
        <f t="shared" si="115"/>
        <v>48.001000000000005</v>
      </c>
      <c r="D245" s="70">
        <f>D244+J215</f>
        <v>86</v>
      </c>
      <c r="E245" s="74">
        <f t="shared" si="107"/>
        <v>0.8377754942497982</v>
      </c>
      <c r="F245" s="74">
        <f t="shared" si="108"/>
        <v>1.5009831567151233</v>
      </c>
      <c r="G245" s="74">
        <f t="shared" si="109"/>
        <v>136.29387835306372</v>
      </c>
      <c r="H245" s="74">
        <f t="shared" si="110"/>
        <v>10.585171157948913</v>
      </c>
      <c r="I245" s="74">
        <f t="shared" si="116"/>
        <v>10.585171157948913</v>
      </c>
      <c r="J245" s="74">
        <f t="shared" si="103"/>
        <v>7.743460086500027</v>
      </c>
      <c r="K245" s="74">
        <f t="shared" si="117"/>
        <v>27.90190445914594</v>
      </c>
      <c r="L245" s="74">
        <f t="shared" si="111"/>
        <v>2.0889857602626907</v>
      </c>
      <c r="M245" s="74">
        <f t="shared" si="105"/>
        <v>3.6715347939252476</v>
      </c>
      <c r="N245" s="74">
        <f t="shared" si="112"/>
        <v>-0.26442935158799213</v>
      </c>
      <c r="O245" s="74">
        <f t="shared" si="113"/>
        <v>47.21953813495431</v>
      </c>
      <c r="P245" s="74">
        <f t="shared" si="114"/>
        <v>0.3840457192304945</v>
      </c>
    </row>
    <row r="246" spans="2:16" ht="13.5">
      <c r="B246" s="74">
        <f t="shared" si="106"/>
        <v>38.69886021923706</v>
      </c>
      <c r="C246" s="70">
        <f t="shared" si="115"/>
        <v>48.001000000000005</v>
      </c>
      <c r="D246" s="70">
        <f>D245+J215</f>
        <v>87</v>
      </c>
      <c r="E246" s="74">
        <f t="shared" si="107"/>
        <v>0.8377754942497982</v>
      </c>
      <c r="F246" s="74">
        <f t="shared" si="108"/>
        <v>1.5184364492350666</v>
      </c>
      <c r="G246" s="74">
        <f t="shared" si="109"/>
        <v>136.29387835306372</v>
      </c>
      <c r="H246" s="74">
        <f t="shared" si="110"/>
        <v>7.933227588970383</v>
      </c>
      <c r="I246" s="74">
        <f t="shared" si="116"/>
        <v>7.933227588970383</v>
      </c>
      <c r="J246" s="74">
        <f t="shared" si="103"/>
        <v>5.4856666823648865</v>
      </c>
      <c r="K246" s="74">
        <f t="shared" si="117"/>
        <v>26.861711894930572</v>
      </c>
      <c r="L246" s="74">
        <f t="shared" si="111"/>
        <v>2.106439052782634</v>
      </c>
      <c r="M246" s="74">
        <f t="shared" si="105"/>
        <v>3.7090067869585464</v>
      </c>
      <c r="N246" s="74">
        <f t="shared" si="112"/>
        <v>-0.3316504474440855</v>
      </c>
      <c r="O246" s="74">
        <f t="shared" si="113"/>
        <v>46.14310040000756</v>
      </c>
      <c r="P246" s="74">
        <f t="shared" si="114"/>
        <v>0.41819439277413006</v>
      </c>
    </row>
    <row r="247" spans="2:16" ht="13.5">
      <c r="B247" s="74">
        <f t="shared" si="106"/>
        <v>38.24037171595111</v>
      </c>
      <c r="C247" s="70">
        <f t="shared" si="115"/>
        <v>48.001000000000005</v>
      </c>
      <c r="D247" s="70">
        <f>D246+J215</f>
        <v>88</v>
      </c>
      <c r="E247" s="74">
        <f t="shared" si="107"/>
        <v>0.8377754942497982</v>
      </c>
      <c r="F247" s="74">
        <f t="shared" si="108"/>
        <v>1.53588974175501</v>
      </c>
      <c r="G247" s="74">
        <f t="shared" si="109"/>
        <v>136.29387835306372</v>
      </c>
      <c r="H247" s="74">
        <f t="shared" si="110"/>
        <v>5.286131481813329</v>
      </c>
      <c r="I247" s="74">
        <f t="shared" si="116"/>
        <v>5.286131481813329</v>
      </c>
      <c r="J247" s="74">
        <f t="shared" si="103"/>
        <v>3.180602221976846</v>
      </c>
      <c r="K247" s="74">
        <f t="shared" si="117"/>
        <v>25.823420688572526</v>
      </c>
      <c r="L247" s="74">
        <f t="shared" si="111"/>
        <v>2.1238923453025773</v>
      </c>
      <c r="M247" s="74">
        <f t="shared" si="105"/>
        <v>3.7484051255774977</v>
      </c>
      <c r="N247" s="74">
        <f t="shared" si="112"/>
        <v>-0.4002789405393484</v>
      </c>
      <c r="O247" s="74">
        <f t="shared" si="113"/>
        <v>45.092220463988305</v>
      </c>
      <c r="P247" s="74">
        <f t="shared" si="114"/>
        <v>0.45289858847984915</v>
      </c>
    </row>
    <row r="248" spans="2:16" ht="13.5">
      <c r="B248" s="74">
        <f t="shared" si="106"/>
        <v>37.77120406921861</v>
      </c>
      <c r="C248" s="70">
        <f t="shared" si="115"/>
        <v>48.001000000000005</v>
      </c>
      <c r="D248" s="70">
        <f>D247+J215</f>
        <v>89</v>
      </c>
      <c r="E248" s="74">
        <f t="shared" si="107"/>
        <v>0.8377754942497982</v>
      </c>
      <c r="F248" s="74">
        <f t="shared" si="108"/>
        <v>1.5533430342749535</v>
      </c>
      <c r="G248" s="74">
        <f t="shared" si="109"/>
        <v>136.29387835306372</v>
      </c>
      <c r="H248" s="74">
        <f t="shared" si="110"/>
        <v>2.642260453508916</v>
      </c>
      <c r="I248" s="74">
        <f t="shared" si="116"/>
        <v>2.642260453508916</v>
      </c>
      <c r="J248" s="74">
        <f t="shared" si="103"/>
        <v>0.8253164850416557</v>
      </c>
      <c r="K248" s="74">
        <f t="shared" si="117"/>
        <v>24.78639448011291</v>
      </c>
      <c r="L248" s="74">
        <f t="shared" si="111"/>
        <v>2.141345637822521</v>
      </c>
      <c r="M248" s="74">
        <f t="shared" si="105"/>
        <v>3.7898162648555984</v>
      </c>
      <c r="N248" s="74">
        <f t="shared" si="112"/>
        <v>-0.47040266753803595</v>
      </c>
      <c r="O248" s="74">
        <f t="shared" si="113"/>
        <v>44.06514812018602</v>
      </c>
      <c r="P248" s="74">
        <f t="shared" si="114"/>
        <v>0.48806583061228437</v>
      </c>
    </row>
    <row r="249" spans="2:16" ht="13.5">
      <c r="B249" s="74">
        <f t="shared" si="106"/>
        <v>37.29122657863523</v>
      </c>
      <c r="C249" s="70">
        <f t="shared" si="115"/>
        <v>48.001000000000005</v>
      </c>
      <c r="D249" s="70">
        <f>D248+J215</f>
        <v>90</v>
      </c>
      <c r="E249" s="74">
        <f t="shared" si="107"/>
        <v>0.8377754942497982</v>
      </c>
      <c r="F249" s="74">
        <f t="shared" si="108"/>
        <v>1.5707963267948966</v>
      </c>
      <c r="G249" s="74">
        <f t="shared" si="109"/>
        <v>136.29387835306372</v>
      </c>
      <c r="H249" s="74">
        <f t="shared" si="110"/>
        <v>9.272842368089618E-15</v>
      </c>
      <c r="I249" s="74">
        <f t="shared" si="116"/>
        <v>9.272842368089618E-15</v>
      </c>
      <c r="J249" s="74">
        <f t="shared" si="103"/>
        <v>-1.5833333333333073</v>
      </c>
      <c r="K249" s="74">
        <f t="shared" si="117"/>
        <v>23.750000000000007</v>
      </c>
      <c r="L249" s="74">
        <f t="shared" si="111"/>
        <v>2.158798930342464</v>
      </c>
      <c r="M249" s="74">
        <f t="shared" si="105"/>
        <v>3.8333333333333317</v>
      </c>
      <c r="N249" s="74">
        <f t="shared" si="112"/>
        <v>-0.5421151989096857</v>
      </c>
      <c r="O249" s="74">
        <f t="shared" si="113"/>
        <v>43.06019940717275</v>
      </c>
      <c r="P249" s="74">
        <f t="shared" si="114"/>
        <v>0.5235987755982985</v>
      </c>
    </row>
    <row r="250" spans="2:16" ht="13.5">
      <c r="B250" s="74">
        <f t="shared" si="106"/>
        <v>41.13193112345707</v>
      </c>
      <c r="C250" s="70">
        <f>C249+J214</f>
        <v>50.401</v>
      </c>
      <c r="D250" s="70">
        <f>D219</f>
        <v>60</v>
      </c>
      <c r="E250" s="74">
        <f t="shared" si="107"/>
        <v>0.879663396297662</v>
      </c>
      <c r="F250" s="74">
        <f t="shared" si="108"/>
        <v>1.0471975511965976</v>
      </c>
      <c r="G250" s="74">
        <f t="shared" si="109"/>
        <v>125.22384077006787</v>
      </c>
      <c r="H250" s="74">
        <f t="shared" si="110"/>
        <v>56.61327536344993</v>
      </c>
      <c r="I250" s="74">
        <f t="shared" si="116"/>
        <v>87.39639699857963</v>
      </c>
      <c r="J250" s="74">
        <f t="shared" si="103"/>
        <v>56.61327536344993</v>
      </c>
      <c r="K250" s="74">
        <f t="shared" si="117"/>
        <v>58.03017223313404</v>
      </c>
      <c r="L250" s="74">
        <f t="shared" si="111"/>
        <v>1.6352001547441652</v>
      </c>
      <c r="M250" s="74">
        <f t="shared" si="105"/>
        <v>3.196152422706631</v>
      </c>
      <c r="N250" s="74">
        <f t="shared" si="112"/>
        <v>1.1905676074715958</v>
      </c>
      <c r="O250" s="74">
        <f t="shared" si="113"/>
        <v>82.26386224691416</v>
      </c>
      <c r="P250" s="74">
        <f t="shared" si="114"/>
        <v>0.3417154731103746</v>
      </c>
    </row>
    <row r="251" spans="2:16" ht="13.5">
      <c r="B251" s="74">
        <f t="shared" si="106"/>
        <v>41.382722485173524</v>
      </c>
      <c r="C251" s="70">
        <f aca="true" t="shared" si="118" ref="C251:C280">C250</f>
        <v>50.401</v>
      </c>
      <c r="D251" s="70">
        <f aca="true" t="shared" si="119" ref="D251:D280">D220</f>
        <v>61</v>
      </c>
      <c r="E251" s="74">
        <f t="shared" si="107"/>
        <v>0.879663396297662</v>
      </c>
      <c r="F251" s="74">
        <f t="shared" si="108"/>
        <v>1.064650843716541</v>
      </c>
      <c r="G251" s="74">
        <f t="shared" si="109"/>
        <v>125.22384077006787</v>
      </c>
      <c r="H251" s="74">
        <f t="shared" si="110"/>
        <v>54.91741842603781</v>
      </c>
      <c r="I251" s="74">
        <f t="shared" si="116"/>
        <v>83.90853266366291</v>
      </c>
      <c r="J251" s="74">
        <f aca="true" t="shared" si="120" ref="J251:J284">0.5*$J$18*N251*$D$3+$G$18</f>
        <v>54.91741842603781</v>
      </c>
      <c r="K251" s="74">
        <f t="shared" si="117"/>
        <v>56.662099930008154</v>
      </c>
      <c r="L251" s="74">
        <f t="shared" si="111"/>
        <v>1.6526534472641083</v>
      </c>
      <c r="M251" s="74">
        <f aca="true" t="shared" si="121" ref="M251:M282">J$18/SIN(L251)*SIN(J$19)</f>
        <v>3.200241894286732</v>
      </c>
      <c r="N251" s="74">
        <f t="shared" si="112"/>
        <v>1.1400769994561701</v>
      </c>
      <c r="O251" s="74">
        <f t="shared" si="113"/>
        <v>80.34886060103531</v>
      </c>
      <c r="P251" s="74">
        <f t="shared" si="114"/>
        <v>0.32524264050507873</v>
      </c>
    </row>
    <row r="252" spans="2:16" ht="13.5">
      <c r="B252" s="74">
        <f t="shared" si="106"/>
        <v>41.60316341103319</v>
      </c>
      <c r="C252" s="70">
        <f t="shared" si="118"/>
        <v>50.401</v>
      </c>
      <c r="D252" s="70">
        <f t="shared" si="119"/>
        <v>62</v>
      </c>
      <c r="E252" s="74">
        <f t="shared" si="107"/>
        <v>0.879663396297662</v>
      </c>
      <c r="F252" s="74">
        <f t="shared" si="108"/>
        <v>1.0821041362364843</v>
      </c>
      <c r="G252" s="74">
        <f t="shared" si="109"/>
        <v>125.22384077006787</v>
      </c>
      <c r="H252" s="74">
        <f t="shared" si="110"/>
        <v>53.21669751699319</v>
      </c>
      <c r="I252" s="74">
        <f t="shared" si="116"/>
        <v>80.48751521775635</v>
      </c>
      <c r="J252" s="74">
        <f t="shared" si="120"/>
        <v>53.21669751699319</v>
      </c>
      <c r="K252" s="74">
        <f t="shared" si="117"/>
        <v>55.3202475049003</v>
      </c>
      <c r="L252" s="74">
        <f t="shared" si="111"/>
        <v>1.6701067397840519</v>
      </c>
      <c r="M252" s="74">
        <f t="shared" si="121"/>
        <v>3.205319466443784</v>
      </c>
      <c r="N252" s="74">
        <f t="shared" si="112"/>
        <v>1.0894415768165406</v>
      </c>
      <c r="O252" s="74">
        <f t="shared" si="113"/>
        <v>78.5084940650971</v>
      </c>
      <c r="P252" s="74">
        <f t="shared" si="114"/>
        <v>0.310776834474299</v>
      </c>
    </row>
    <row r="253" spans="2:16" ht="13.5">
      <c r="B253" s="74">
        <f t="shared" si="106"/>
        <v>41.79449636315987</v>
      </c>
      <c r="C253" s="70">
        <f t="shared" si="118"/>
        <v>50.401</v>
      </c>
      <c r="D253" s="70">
        <f t="shared" si="119"/>
        <v>63</v>
      </c>
      <c r="E253" s="74">
        <f t="shared" si="107"/>
        <v>0.879663396297662</v>
      </c>
      <c r="F253" s="74">
        <f t="shared" si="108"/>
        <v>1.0995574287564276</v>
      </c>
      <c r="G253" s="74">
        <f t="shared" si="109"/>
        <v>125.22384077006787</v>
      </c>
      <c r="H253" s="74">
        <f t="shared" si="110"/>
        <v>51.51005054407396</v>
      </c>
      <c r="I253" s="74">
        <f t="shared" si="116"/>
        <v>77.12941491721917</v>
      </c>
      <c r="J253" s="74">
        <f t="shared" si="120"/>
        <v>51.51005054407396</v>
      </c>
      <c r="K253" s="74">
        <f t="shared" si="117"/>
        <v>54.00307356373172</v>
      </c>
      <c r="L253" s="74">
        <f t="shared" si="111"/>
        <v>1.687560032303995</v>
      </c>
      <c r="M253" s="74">
        <f t="shared" si="121"/>
        <v>3.2113929525108333</v>
      </c>
      <c r="N253" s="74">
        <f t="shared" si="112"/>
        <v>1.0386297179684278</v>
      </c>
      <c r="O253" s="74">
        <f t="shared" si="113"/>
        <v>76.73797446781744</v>
      </c>
      <c r="P253" s="74">
        <f t="shared" si="114"/>
        <v>0.29823629640855925</v>
      </c>
    </row>
    <row r="254" spans="2:16" ht="13.5">
      <c r="B254" s="74">
        <f t="shared" si="106"/>
        <v>41.957835345993836</v>
      </c>
      <c r="C254" s="70">
        <f t="shared" si="118"/>
        <v>50.401</v>
      </c>
      <c r="D254" s="70">
        <f t="shared" si="119"/>
        <v>64</v>
      </c>
      <c r="E254" s="74">
        <f t="shared" si="107"/>
        <v>0.879663396297662</v>
      </c>
      <c r="F254" s="74">
        <f t="shared" si="108"/>
        <v>1.117010721276371</v>
      </c>
      <c r="G254" s="74">
        <f t="shared" si="109"/>
        <v>125.22384077006787</v>
      </c>
      <c r="H254" s="74">
        <f t="shared" si="110"/>
        <v>49.7964007486329</v>
      </c>
      <c r="I254" s="74">
        <f t="shared" si="116"/>
        <v>73.83052059415728</v>
      </c>
      <c r="J254" s="74">
        <f t="shared" si="120"/>
        <v>49.7964007486329</v>
      </c>
      <c r="K254" s="74">
        <f t="shared" si="117"/>
        <v>52.70912244609802</v>
      </c>
      <c r="L254" s="74">
        <f t="shared" si="111"/>
        <v>1.7050133248239385</v>
      </c>
      <c r="M254" s="74">
        <f t="shared" si="121"/>
        <v>3.21847173736185</v>
      </c>
      <c r="N254" s="74">
        <f t="shared" si="112"/>
        <v>0.9876093646658881</v>
      </c>
      <c r="O254" s="74">
        <f t="shared" si="113"/>
        <v>75.03284660011566</v>
      </c>
      <c r="P254" s="74">
        <f t="shared" si="114"/>
        <v>0.28754480340718847</v>
      </c>
    </row>
    <row r="255" spans="2:16" ht="13.5">
      <c r="B255" s="74">
        <f t="shared" si="106"/>
        <v>42.0941758213578</v>
      </c>
      <c r="C255" s="70">
        <f t="shared" si="118"/>
        <v>50.401</v>
      </c>
      <c r="D255" s="70">
        <f t="shared" si="119"/>
        <v>65</v>
      </c>
      <c r="E255" s="74">
        <f t="shared" si="107"/>
        <v>0.879663396297662</v>
      </c>
      <c r="F255" s="74">
        <f t="shared" si="108"/>
        <v>1.1344640137963142</v>
      </c>
      <c r="G255" s="74">
        <f t="shared" si="109"/>
        <v>125.22384077006787</v>
      </c>
      <c r="H255" s="74">
        <f t="shared" si="110"/>
        <v>48.07465394252364</v>
      </c>
      <c r="I255" s="74">
        <f t="shared" si="116"/>
        <v>70.58732175321292</v>
      </c>
      <c r="J255" s="74">
        <f t="shared" si="120"/>
        <v>48.07465394252364</v>
      </c>
      <c r="K255" s="74">
        <f t="shared" si="117"/>
        <v>51.43701720295304</v>
      </c>
      <c r="L255" s="74">
        <f t="shared" si="111"/>
        <v>1.7224666173438816</v>
      </c>
      <c r="M255" s="74">
        <f t="shared" si="121"/>
        <v>3.2265668130425462</v>
      </c>
      <c r="N255" s="74">
        <f t="shared" si="112"/>
        <v>0.9363479397359457</v>
      </c>
      <c r="O255" s="74">
        <f t="shared" si="113"/>
        <v>73.38895595005735</v>
      </c>
      <c r="P255" s="74">
        <f t="shared" si="114"/>
        <v>0.2786324151832581</v>
      </c>
    </row>
    <row r="256" spans="2:16" ht="13.5">
      <c r="B256" s="74">
        <f t="shared" si="106"/>
        <v>42.20440340155208</v>
      </c>
      <c r="C256" s="70">
        <f t="shared" si="118"/>
        <v>50.401</v>
      </c>
      <c r="D256" s="70">
        <f t="shared" si="119"/>
        <v>66</v>
      </c>
      <c r="E256" s="74">
        <f t="shared" si="107"/>
        <v>0.879663396297662</v>
      </c>
      <c r="F256" s="74">
        <f t="shared" si="108"/>
        <v>1.1519173063162575</v>
      </c>
      <c r="G256" s="74">
        <f t="shared" si="109"/>
        <v>125.22384077006787</v>
      </c>
      <c r="H256" s="74">
        <f t="shared" si="110"/>
        <v>46.34369565210348</v>
      </c>
      <c r="I256" s="74">
        <f t="shared" si="116"/>
        <v>67.39649223857965</v>
      </c>
      <c r="J256" s="74">
        <f t="shared" si="120"/>
        <v>46.34369565210348</v>
      </c>
      <c r="K256" s="74">
        <f t="shared" si="117"/>
        <v>50.18545319019432</v>
      </c>
      <c r="L256" s="74">
        <f t="shared" si="111"/>
        <v>1.7399199098638252</v>
      </c>
      <c r="M256" s="74">
        <f t="shared" si="121"/>
        <v>3.235690820800044</v>
      </c>
      <c r="N256" s="74">
        <f t="shared" si="112"/>
        <v>0.8848122620472225</v>
      </c>
      <c r="O256" s="74">
        <f t="shared" si="113"/>
        <v>71.8024197390917</v>
      </c>
      <c r="P256" s="74">
        <f t="shared" si="114"/>
        <v>0.27143592411813827</v>
      </c>
    </row>
    <row r="257" spans="2:16" ht="13.5">
      <c r="B257" s="74">
        <f t="shared" si="106"/>
        <v>42.28930145746044</v>
      </c>
      <c r="C257" s="70">
        <f t="shared" si="118"/>
        <v>50.401</v>
      </c>
      <c r="D257" s="70">
        <f t="shared" si="119"/>
        <v>67</v>
      </c>
      <c r="E257" s="74">
        <f t="shared" si="107"/>
        <v>0.879663396297662</v>
      </c>
      <c r="F257" s="74">
        <f t="shared" si="108"/>
        <v>1.1693705988362006</v>
      </c>
      <c r="G257" s="74">
        <f t="shared" si="109"/>
        <v>125.22384077006787</v>
      </c>
      <c r="H257" s="74">
        <f t="shared" si="110"/>
        <v>44.602388153158174</v>
      </c>
      <c r="I257" s="74">
        <f t="shared" si="116"/>
        <v>64.25487530372895</v>
      </c>
      <c r="J257" s="74">
        <f t="shared" si="120"/>
        <v>44.602388153158174</v>
      </c>
      <c r="K257" s="74">
        <f t="shared" si="117"/>
        <v>48.95319221244529</v>
      </c>
      <c r="L257" s="74">
        <f t="shared" si="111"/>
        <v>1.7573732023837683</v>
      </c>
      <c r="M257" s="74">
        <f t="shared" si="121"/>
        <v>3.2458580998131934</v>
      </c>
      <c r="N257" s="74">
        <f t="shared" si="112"/>
        <v>0.8329684582310031</v>
      </c>
      <c r="O257" s="74">
        <f t="shared" si="113"/>
        <v>70.26960084174581</v>
      </c>
      <c r="P257" s="74">
        <f t="shared" si="114"/>
        <v>0.2658990808579011</v>
      </c>
    </row>
    <row r="258" spans="2:16" ht="13.5">
      <c r="B258" s="74">
        <f t="shared" si="106"/>
        <v>42.34955775844493</v>
      </c>
      <c r="C258" s="70">
        <f t="shared" si="118"/>
        <v>50.401</v>
      </c>
      <c r="D258" s="70">
        <f t="shared" si="119"/>
        <v>68</v>
      </c>
      <c r="E258" s="74">
        <f t="shared" si="107"/>
        <v>0.879663396297662</v>
      </c>
      <c r="F258" s="74">
        <f t="shared" si="108"/>
        <v>1.1868238913561442</v>
      </c>
      <c r="G258" s="74">
        <f t="shared" si="109"/>
        <v>125.22384077006787</v>
      </c>
      <c r="H258" s="74">
        <f t="shared" si="110"/>
        <v>42.84956737955771</v>
      </c>
      <c r="I258" s="74">
        <f t="shared" si="116"/>
        <v>61.15946993579685</v>
      </c>
      <c r="J258" s="74">
        <f t="shared" si="120"/>
        <v>42.84956737955771</v>
      </c>
      <c r="K258" s="74">
        <f t="shared" si="117"/>
        <v>47.739057158962424</v>
      </c>
      <c r="L258" s="74">
        <f t="shared" si="111"/>
        <v>1.7748264949037118</v>
      </c>
      <c r="M258" s="74">
        <f t="shared" si="121"/>
        <v>3.2570847429771757</v>
      </c>
      <c r="N258" s="74">
        <f t="shared" si="112"/>
        <v>0.7807818706428962</v>
      </c>
      <c r="O258" s="74">
        <f t="shared" si="113"/>
        <v>68.78708422683722</v>
      </c>
      <c r="P258" s="74">
        <f t="shared" si="114"/>
        <v>0.2619726531302767</v>
      </c>
    </row>
    <row r="259" spans="2:16" ht="13.5">
      <c r="B259" s="74">
        <f t="shared" si="106"/>
        <v>42.38577024351512</v>
      </c>
      <c r="C259" s="70">
        <f t="shared" si="118"/>
        <v>50.401</v>
      </c>
      <c r="D259" s="70">
        <f t="shared" si="119"/>
        <v>69</v>
      </c>
      <c r="E259" s="74">
        <f t="shared" si="107"/>
        <v>0.879663396297662</v>
      </c>
      <c r="F259" s="74">
        <f t="shared" si="108"/>
        <v>1.2042771838760873</v>
      </c>
      <c r="G259" s="74">
        <f t="shared" si="109"/>
        <v>125.22384077006787</v>
      </c>
      <c r="H259" s="74">
        <f t="shared" si="110"/>
        <v>41.08403968726031</v>
      </c>
      <c r="I259" s="74">
        <f t="shared" si="116"/>
        <v>58.107418303486085</v>
      </c>
      <c r="J259" s="74">
        <f t="shared" si="120"/>
        <v>41.08403968726031</v>
      </c>
      <c r="K259" s="74">
        <f t="shared" si="117"/>
        <v>46.54192708022782</v>
      </c>
      <c r="L259" s="74">
        <f t="shared" si="111"/>
        <v>1.792279787423655</v>
      </c>
      <c r="M259" s="74">
        <f t="shared" si="121"/>
        <v>3.2693886601519666</v>
      </c>
      <c r="N259" s="74">
        <f t="shared" si="112"/>
        <v>0.7282169610177962</v>
      </c>
      <c r="O259" s="74">
        <f t="shared" si="113"/>
        <v>67.35165560551253</v>
      </c>
      <c r="P259" s="74">
        <f t="shared" si="114"/>
        <v>0.2596143624362186</v>
      </c>
    </row>
    <row r="260" spans="2:16" ht="13.5">
      <c r="B260" s="74">
        <f t="shared" si="106"/>
        <v>42.39845200837804</v>
      </c>
      <c r="C260" s="70">
        <f t="shared" si="118"/>
        <v>50.401</v>
      </c>
      <c r="D260" s="70">
        <f t="shared" si="119"/>
        <v>70</v>
      </c>
      <c r="E260" s="74">
        <f t="shared" si="107"/>
        <v>0.879663396297662</v>
      </c>
      <c r="F260" s="74">
        <f t="shared" si="108"/>
        <v>1.2217304763960306</v>
      </c>
      <c r="G260" s="74">
        <f t="shared" si="109"/>
        <v>125.22384077006787</v>
      </c>
      <c r="H260" s="74">
        <f t="shared" si="110"/>
        <v>39.30457845389725</v>
      </c>
      <c r="I260" s="74">
        <f t="shared" si="116"/>
        <v>55.09599421204639</v>
      </c>
      <c r="J260" s="74">
        <f t="shared" si="120"/>
        <v>39.30457845389725</v>
      </c>
      <c r="K260" s="74">
        <f t="shared" si="117"/>
        <v>45.360732659555765</v>
      </c>
      <c r="L260" s="74">
        <f t="shared" si="111"/>
        <v>1.809733079943598</v>
      </c>
      <c r="M260" s="74">
        <f t="shared" si="121"/>
        <v>3.2827896493451227</v>
      </c>
      <c r="N260" s="74">
        <f t="shared" si="112"/>
        <v>0.6752372092296027</v>
      </c>
      <c r="O260" s="74">
        <f t="shared" si="113"/>
        <v>65.96028201143142</v>
      </c>
      <c r="P260" s="74">
        <f t="shared" si="114"/>
        <v>0.25878873210709064</v>
      </c>
    </row>
    <row r="261" spans="2:16" ht="13.5">
      <c r="B261" s="74">
        <f t="shared" si="106"/>
        <v>42.38803558008798</v>
      </c>
      <c r="C261" s="70">
        <f t="shared" si="118"/>
        <v>50.401</v>
      </c>
      <c r="D261" s="70">
        <f t="shared" si="119"/>
        <v>71</v>
      </c>
      <c r="E261" s="74">
        <f t="shared" si="107"/>
        <v>0.879663396297662</v>
      </c>
      <c r="F261" s="74">
        <f t="shared" si="108"/>
        <v>1.239183768915974</v>
      </c>
      <c r="G261" s="74">
        <f t="shared" si="109"/>
        <v>125.22384077006787</v>
      </c>
      <c r="H261" s="74">
        <f t="shared" si="110"/>
        <v>37.50992049257642</v>
      </c>
      <c r="I261" s="74">
        <f t="shared" si="116"/>
        <v>52.12259246172309</v>
      </c>
      <c r="J261" s="74">
        <f t="shared" si="120"/>
        <v>37.50992049257642</v>
      </c>
      <c r="K261" s="74">
        <f t="shared" si="117"/>
        <v>44.19445203907388</v>
      </c>
      <c r="L261" s="74">
        <f t="shared" si="111"/>
        <v>1.8271863724635415</v>
      </c>
      <c r="M261" s="74">
        <f t="shared" si="121"/>
        <v>3.297309476365921</v>
      </c>
      <c r="N261" s="74">
        <f t="shared" si="112"/>
        <v>0.6218050065196917</v>
      </c>
      <c r="O261" s="74">
        <f t="shared" si="113"/>
        <v>64.61009407234498</v>
      </c>
      <c r="P261" s="74">
        <f t="shared" si="114"/>
        <v>0.2594668708422203</v>
      </c>
    </row>
    <row r="262" spans="2:16" ht="13.5">
      <c r="B262" s="74">
        <f t="shared" si="106"/>
        <v>42.35487653977805</v>
      </c>
      <c r="C262" s="70">
        <f t="shared" si="118"/>
        <v>50.401</v>
      </c>
      <c r="D262" s="70">
        <f t="shared" si="119"/>
        <v>72</v>
      </c>
      <c r="E262" s="74">
        <f t="shared" si="107"/>
        <v>0.879663396297662</v>
      </c>
      <c r="F262" s="74">
        <f t="shared" si="108"/>
        <v>1.2566370614359172</v>
      </c>
      <c r="G262" s="74">
        <f t="shared" si="109"/>
        <v>125.22384077006787</v>
      </c>
      <c r="H262" s="74">
        <f t="shared" si="110"/>
        <v>35.698762256707205</v>
      </c>
      <c r="I262" s="74">
        <f t="shared" si="116"/>
        <v>49.18471901725621</v>
      </c>
      <c r="J262" s="74">
        <f t="shared" si="120"/>
        <v>35.698762256707205</v>
      </c>
      <c r="K262" s="74">
        <f t="shared" si="117"/>
        <v>43.042106963828815</v>
      </c>
      <c r="L262" s="74">
        <f t="shared" si="111"/>
        <v>1.8446396649834846</v>
      </c>
      <c r="M262" s="74">
        <f t="shared" si="121"/>
        <v>3.3129719635610875</v>
      </c>
      <c r="N262" s="74">
        <f t="shared" si="112"/>
        <v>0.5678815425034818</v>
      </c>
      <c r="O262" s="74">
        <f t="shared" si="113"/>
        <v>63.29836976110895</v>
      </c>
      <c r="P262" s="74">
        <f t="shared" si="114"/>
        <v>0.26162620805102726</v>
      </c>
    </row>
    <row r="263" spans="2:16" ht="13.5">
      <c r="B263" s="74">
        <f t="shared" si="106"/>
        <v>42.29925654407706</v>
      </c>
      <c r="C263" s="70">
        <f t="shared" si="118"/>
        <v>50.401</v>
      </c>
      <c r="D263" s="70">
        <f t="shared" si="119"/>
        <v>73</v>
      </c>
      <c r="E263" s="74">
        <f t="shared" si="107"/>
        <v>0.879663396297662</v>
      </c>
      <c r="F263" s="74">
        <f t="shared" si="108"/>
        <v>1.2740903539558606</v>
      </c>
      <c r="G263" s="74">
        <f t="shared" si="109"/>
        <v>125.22384077006787</v>
      </c>
      <c r="H263" s="74">
        <f t="shared" si="110"/>
        <v>33.86975581055276</v>
      </c>
      <c r="I263" s="74">
        <f t="shared" si="116"/>
        <v>46.27998190580472</v>
      </c>
      <c r="J263" s="74">
        <f t="shared" si="120"/>
        <v>33.86975581055276</v>
      </c>
      <c r="K263" s="74">
        <f t="shared" si="117"/>
        <v>41.90275921160796</v>
      </c>
      <c r="L263" s="74">
        <f t="shared" si="111"/>
        <v>1.8620929575034282</v>
      </c>
      <c r="M263" s="74">
        <f t="shared" si="121"/>
        <v>3.3298030883232532</v>
      </c>
      <c r="N263" s="74">
        <f t="shared" si="112"/>
        <v>0.5134266852020202</v>
      </c>
      <c r="O263" s="74">
        <f t="shared" si="113"/>
        <v>62.02251943861089</v>
      </c>
      <c r="P263" s="74">
        <f t="shared" si="114"/>
        <v>0.2652501908693169</v>
      </c>
    </row>
    <row r="264" spans="2:16" ht="13.5">
      <c r="B264" s="74">
        <f t="shared" si="106"/>
        <v>42.221385787050735</v>
      </c>
      <c r="C264" s="70">
        <f t="shared" si="118"/>
        <v>50.401</v>
      </c>
      <c r="D264" s="70">
        <f t="shared" si="119"/>
        <v>74</v>
      </c>
      <c r="E264" s="74">
        <f t="shared" si="107"/>
        <v>0.879663396297662</v>
      </c>
      <c r="F264" s="74">
        <f t="shared" si="108"/>
        <v>1.2915436464758039</v>
      </c>
      <c r="G264" s="74">
        <f t="shared" si="109"/>
        <v>125.22384077006787</v>
      </c>
      <c r="H264" s="74">
        <f t="shared" si="110"/>
        <v>32.02150453781869</v>
      </c>
      <c r="I264" s="74">
        <f t="shared" si="116"/>
        <v>43.40608276923955</v>
      </c>
      <c r="J264" s="74">
        <f t="shared" si="120"/>
        <v>32.02150453781869</v>
      </c>
      <c r="K264" s="74">
        <f t="shared" si="117"/>
        <v>40.77550727942922</v>
      </c>
      <c r="L264" s="74">
        <f t="shared" si="111"/>
        <v>1.8795462500233713</v>
      </c>
      <c r="M264" s="74">
        <f t="shared" si="121"/>
        <v>3.347831092152982</v>
      </c>
      <c r="N264" s="74">
        <f t="shared" si="112"/>
        <v>0.4583988532741495</v>
      </c>
      <c r="O264" s="74">
        <f t="shared" si="113"/>
        <v>60.78007202180957</v>
      </c>
      <c r="P264" s="74">
        <f t="shared" si="114"/>
        <v>0.2703279473485446</v>
      </c>
    </row>
    <row r="265" spans="2:16" ht="13.5">
      <c r="B265" s="74">
        <f t="shared" si="106"/>
        <v>42.12140493664843</v>
      </c>
      <c r="C265" s="70">
        <f t="shared" si="118"/>
        <v>50.401</v>
      </c>
      <c r="D265" s="70">
        <f t="shared" si="119"/>
        <v>75</v>
      </c>
      <c r="E265" s="74">
        <f t="shared" si="107"/>
        <v>0.879663396297662</v>
      </c>
      <c r="F265" s="74">
        <f t="shared" si="108"/>
        <v>1.3089969389957472</v>
      </c>
      <c r="G265" s="74">
        <f t="shared" si="109"/>
        <v>125.22384077006787</v>
      </c>
      <c r="H265" s="74">
        <f t="shared" si="110"/>
        <v>30.152558557855457</v>
      </c>
      <c r="I265" s="74">
        <f t="shared" si="116"/>
        <v>40.560809004261195</v>
      </c>
      <c r="J265" s="74">
        <f t="shared" si="120"/>
        <v>30.152558557855457</v>
      </c>
      <c r="K265" s="74">
        <f t="shared" si="117"/>
        <v>39.65948330059791</v>
      </c>
      <c r="L265" s="74">
        <f t="shared" si="111"/>
        <v>1.8969995425433148</v>
      </c>
      <c r="M265" s="74">
        <f t="shared" si="121"/>
        <v>3.3670866011551928</v>
      </c>
      <c r="N265" s="74">
        <f t="shared" si="112"/>
        <v>0.4027548795434824</v>
      </c>
      <c r="O265" s="74">
        <f t="shared" si="113"/>
        <v>59.568662127617245</v>
      </c>
      <c r="P265" s="74">
        <f t="shared" si="114"/>
        <v>0.27685391580267454</v>
      </c>
    </row>
    <row r="266" spans="2:16" ht="13.5">
      <c r="B266" s="74">
        <f t="shared" si="106"/>
        <v>41.999386572505365</v>
      </c>
      <c r="C266" s="70">
        <f t="shared" si="118"/>
        <v>50.401</v>
      </c>
      <c r="D266" s="70">
        <f t="shared" si="119"/>
        <v>76</v>
      </c>
      <c r="E266" s="74">
        <f t="shared" si="107"/>
        <v>0.879663396297662</v>
      </c>
      <c r="F266" s="74">
        <f t="shared" si="108"/>
        <v>1.3264502315156903</v>
      </c>
      <c r="G266" s="74">
        <f t="shared" si="109"/>
        <v>125.22384077006787</v>
      </c>
      <c r="H266" s="74">
        <f t="shared" si="110"/>
        <v>28.2614098159386</v>
      </c>
      <c r="I266" s="74">
        <f t="shared" si="116"/>
        <v>37.7420264303865</v>
      </c>
      <c r="J266" s="74">
        <f t="shared" si="120"/>
        <v>28.2614098159386</v>
      </c>
      <c r="K266" s="74">
        <f t="shared" si="117"/>
        <v>38.55385016881386</v>
      </c>
      <c r="L266" s="74">
        <f t="shared" si="111"/>
        <v>1.914452835063258</v>
      </c>
      <c r="M266" s="74">
        <f t="shared" si="121"/>
        <v>3.3876027589624966</v>
      </c>
      <c r="N266" s="74">
        <f t="shared" si="112"/>
        <v>0.34644986482172163</v>
      </c>
      <c r="O266" s="74">
        <f t="shared" si="113"/>
        <v>58.38601805813174</v>
      </c>
      <c r="P266" s="74">
        <f t="shared" si="114"/>
        <v>0.28482743645221437</v>
      </c>
    </row>
    <row r="267" spans="2:16" ht="13.5">
      <c r="B267" s="74">
        <f t="shared" si="106"/>
        <v>41.85533614538775</v>
      </c>
      <c r="C267" s="70">
        <f t="shared" si="118"/>
        <v>50.401</v>
      </c>
      <c r="D267" s="70">
        <f t="shared" si="119"/>
        <v>77</v>
      </c>
      <c r="E267" s="74">
        <f t="shared" si="107"/>
        <v>0.879663396297662</v>
      </c>
      <c r="F267" s="74">
        <f t="shared" si="108"/>
        <v>1.3439035240356338</v>
      </c>
      <c r="G267" s="74">
        <f t="shared" si="109"/>
        <v>125.22384077006787</v>
      </c>
      <c r="H267" s="74">
        <f t="shared" si="110"/>
        <v>26.34648681054474</v>
      </c>
      <c r="I267" s="74">
        <f t="shared" si="116"/>
        <v>34.9476724316321</v>
      </c>
      <c r="J267" s="74">
        <f t="shared" si="120"/>
        <v>26.34648681054474</v>
      </c>
      <c r="K267" s="74">
        <f t="shared" si="117"/>
        <v>37.4577988480803</v>
      </c>
      <c r="L267" s="74">
        <f t="shared" si="111"/>
        <v>1.9319061275832015</v>
      </c>
      <c r="M267" s="74">
        <f t="shared" si="121"/>
        <v>3.409415373203253</v>
      </c>
      <c r="N267" s="74">
        <f t="shared" si="112"/>
        <v>0.2894370209242849</v>
      </c>
      <c r="O267" s="74">
        <f t="shared" si="113"/>
        <v>57.2299505051013</v>
      </c>
      <c r="P267" s="74">
        <f t="shared" si="114"/>
        <v>0.2942522981904237</v>
      </c>
    </row>
    <row r="268" spans="2:16" ht="13.5">
      <c r="B268" s="74">
        <f t="shared" si="106"/>
        <v>41.68919247243733</v>
      </c>
      <c r="C268" s="70">
        <f t="shared" si="118"/>
        <v>50.401</v>
      </c>
      <c r="D268" s="70">
        <f t="shared" si="119"/>
        <v>78</v>
      </c>
      <c r="E268" s="74">
        <f t="shared" si="107"/>
        <v>0.879663396297662</v>
      </c>
      <c r="F268" s="74">
        <f t="shared" si="108"/>
        <v>1.361356816555577</v>
      </c>
      <c r="G268" s="74">
        <f t="shared" si="109"/>
        <v>125.22384077006787</v>
      </c>
      <c r="H268" s="74">
        <f t="shared" si="110"/>
        <v>24.40614891650218</v>
      </c>
      <c r="I268" s="74">
        <f t="shared" si="116"/>
        <v>32.17574952279962</v>
      </c>
      <c r="J268" s="74">
        <f t="shared" si="120"/>
        <v>24.40614891650218</v>
      </c>
      <c r="K268" s="74">
        <f t="shared" si="117"/>
        <v>36.370545849157565</v>
      </c>
      <c r="L268" s="74">
        <f t="shared" si="111"/>
        <v>1.9493594201031446</v>
      </c>
      <c r="M268" s="74">
        <f t="shared" si="121"/>
        <v>3.4325630767730444</v>
      </c>
      <c r="N268" s="74">
        <f t="shared" si="112"/>
        <v>0.23166750165393885</v>
      </c>
      <c r="O268" s="74">
        <f t="shared" si="113"/>
        <v>56.09834186177144</v>
      </c>
      <c r="P268" s="74">
        <f t="shared" si="114"/>
        <v>0.3051362304288825</v>
      </c>
    </row>
    <row r="269" spans="2:16" ht="13.5">
      <c r="B269" s="74">
        <f t="shared" si="106"/>
        <v>41.50082777654269</v>
      </c>
      <c r="C269" s="70">
        <f t="shared" si="118"/>
        <v>50.401</v>
      </c>
      <c r="D269" s="70">
        <f t="shared" si="119"/>
        <v>79</v>
      </c>
      <c r="E269" s="74">
        <f t="shared" si="107"/>
        <v>0.879663396297662</v>
      </c>
      <c r="F269" s="74">
        <f t="shared" si="108"/>
        <v>1.3788101090755203</v>
      </c>
      <c r="G269" s="74">
        <f t="shared" si="109"/>
        <v>125.22384077006787</v>
      </c>
      <c r="H269" s="74">
        <f t="shared" si="110"/>
        <v>22.438680258289008</v>
      </c>
      <c r="I269" s="74">
        <f t="shared" si="116"/>
        <v>29.424319295722153</v>
      </c>
      <c r="J269" s="74">
        <f t="shared" si="120"/>
        <v>22.438680258289008</v>
      </c>
      <c r="K269" s="74">
        <f t="shared" si="117"/>
        <v>35.29133085505204</v>
      </c>
      <c r="L269" s="74">
        <f t="shared" si="111"/>
        <v>1.9668127126230877</v>
      </c>
      <c r="M269" s="74">
        <f t="shared" si="121"/>
        <v>3.4570875053272205</v>
      </c>
      <c r="N269" s="74">
        <f t="shared" si="112"/>
        <v>0.17309022039101127</v>
      </c>
      <c r="O269" s="74">
        <f t="shared" si="113"/>
        <v>54.98913603865032</v>
      </c>
      <c r="P269" s="74">
        <f t="shared" si="114"/>
        <v>0.3174903275359275</v>
      </c>
    </row>
    <row r="270" spans="2:16" ht="13.5">
      <c r="B270" s="74">
        <f t="shared" si="106"/>
        <v>41.29004727252479</v>
      </c>
      <c r="C270" s="70">
        <f t="shared" si="118"/>
        <v>50.401</v>
      </c>
      <c r="D270" s="70">
        <f t="shared" si="119"/>
        <v>80</v>
      </c>
      <c r="E270" s="74">
        <f t="shared" si="107"/>
        <v>0.879663396297662</v>
      </c>
      <c r="F270" s="74">
        <f t="shared" si="108"/>
        <v>1.3962634015954636</v>
      </c>
      <c r="G270" s="74">
        <f t="shared" si="109"/>
        <v>125.22384077006787</v>
      </c>
      <c r="H270" s="74">
        <f t="shared" si="110"/>
        <v>20.442283082501756</v>
      </c>
      <c r="I270" s="74">
        <f t="shared" si="116"/>
        <v>26.691496704743898</v>
      </c>
      <c r="J270" s="74">
        <f t="shared" si="120"/>
        <v>20.442283082501756</v>
      </c>
      <c r="K270" s="74">
        <f t="shared" si="117"/>
        <v>34.21941447956511</v>
      </c>
      <c r="L270" s="74">
        <f t="shared" si="111"/>
        <v>1.9842660051430312</v>
      </c>
      <c r="M270" s="74">
        <f t="shared" si="121"/>
        <v>3.483033492591896</v>
      </c>
      <c r="N270" s="74">
        <f t="shared" si="112"/>
        <v>0.1136516527724497</v>
      </c>
      <c r="O270" s="74">
        <f t="shared" si="113"/>
        <v>53.900328686428225</v>
      </c>
      <c r="P270" s="74">
        <f t="shared" si="114"/>
        <v>0.3313283914070094</v>
      </c>
    </row>
    <row r="271" spans="2:16" ht="13.5">
      <c r="B271" s="74">
        <f t="shared" si="106"/>
        <v>41.05658829725668</v>
      </c>
      <c r="C271" s="70">
        <f t="shared" si="118"/>
        <v>50.401</v>
      </c>
      <c r="D271" s="70">
        <f t="shared" si="119"/>
        <v>81</v>
      </c>
      <c r="E271" s="74">
        <f t="shared" si="107"/>
        <v>0.879663396297662</v>
      </c>
      <c r="F271" s="74">
        <f t="shared" si="108"/>
        <v>1.413716694115407</v>
      </c>
      <c r="G271" s="74">
        <f t="shared" si="109"/>
        <v>125.22384077006787</v>
      </c>
      <c r="H271" s="74">
        <f t="shared" si="110"/>
        <v>18.415070572518374</v>
      </c>
      <c r="I271" s="74">
        <f t="shared" si="116"/>
        <v>23.97544465412669</v>
      </c>
      <c r="J271" s="74">
        <f t="shared" si="120"/>
        <v>18.415070572518374</v>
      </c>
      <c r="K271" s="74">
        <f t="shared" si="117"/>
        <v>33.15407614426935</v>
      </c>
      <c r="L271" s="74">
        <f t="shared" si="111"/>
        <v>2.0017192976629743</v>
      </c>
      <c r="M271" s="74">
        <f t="shared" si="121"/>
        <v>3.510449285294637</v>
      </c>
      <c r="N271" s="74">
        <f t="shared" si="112"/>
        <v>0.053295622763378</v>
      </c>
      <c r="O271" s="74">
        <f t="shared" si="113"/>
        <v>52.8299577344325</v>
      </c>
      <c r="P271" s="74">
        <f t="shared" si="114"/>
        <v>0.3466661763213289</v>
      </c>
    </row>
    <row r="272" spans="2:16" ht="13.5">
      <c r="B272" s="74">
        <f t="shared" si="106"/>
        <v>42.217762606136056</v>
      </c>
      <c r="C272" s="70">
        <f t="shared" si="118"/>
        <v>50.401</v>
      </c>
      <c r="D272" s="70">
        <f t="shared" si="119"/>
        <v>82</v>
      </c>
      <c r="E272" s="74">
        <f t="shared" si="107"/>
        <v>0.879663396297662</v>
      </c>
      <c r="F272" s="74">
        <f t="shared" si="108"/>
        <v>1.43116998663535</v>
      </c>
      <c r="G272" s="74">
        <f t="shared" si="109"/>
        <v>125.22384077006787</v>
      </c>
      <c r="H272" s="74">
        <f t="shared" si="110"/>
        <v>21.274368853074545</v>
      </c>
      <c r="I272" s="74">
        <f t="shared" si="116"/>
        <v>21.274368853074545</v>
      </c>
      <c r="J272" s="74">
        <f t="shared" si="120"/>
        <v>16.355059041525283</v>
      </c>
      <c r="K272" s="74">
        <f t="shared" si="117"/>
        <v>32.09461206045451</v>
      </c>
      <c r="L272" s="74">
        <f t="shared" si="111"/>
        <v>2.0191725901829174</v>
      </c>
      <c r="M272" s="74">
        <f t="shared" si="121"/>
        <v>3.539386779747792</v>
      </c>
      <c r="N272" s="74">
        <f t="shared" si="112"/>
        <v>-0.008036929779261789</v>
      </c>
      <c r="O272" s="74">
        <f t="shared" si="113"/>
        <v>53.57510974679665</v>
      </c>
      <c r="P272" s="74">
        <f t="shared" si="114"/>
        <v>0.2705643158583517</v>
      </c>
    </row>
    <row r="273" spans="2:16" ht="13.5">
      <c r="B273" s="74">
        <f t="shared" si="106"/>
        <v>41.77704625674892</v>
      </c>
      <c r="C273" s="70">
        <f t="shared" si="118"/>
        <v>50.401</v>
      </c>
      <c r="D273" s="70">
        <f t="shared" si="119"/>
        <v>83</v>
      </c>
      <c r="E273" s="74">
        <f t="shared" si="107"/>
        <v>0.879663396297662</v>
      </c>
      <c r="F273" s="74">
        <f t="shared" si="108"/>
        <v>1.4486232791552935</v>
      </c>
      <c r="G273" s="74">
        <f t="shared" si="109"/>
        <v>125.22384077006787</v>
      </c>
      <c r="H273" s="74">
        <f t="shared" si="110"/>
        <v>18.586512906677186</v>
      </c>
      <c r="I273" s="74">
        <f t="shared" si="116"/>
        <v>18.586512906677186</v>
      </c>
      <c r="J273" s="74">
        <f t="shared" si="120"/>
        <v>14.26015943222883</v>
      </c>
      <c r="K273" s="74">
        <f t="shared" si="117"/>
        <v>31.040333303609955</v>
      </c>
      <c r="L273" s="74">
        <f t="shared" si="111"/>
        <v>2.036625882702861</v>
      </c>
      <c r="M273" s="74">
        <f t="shared" si="121"/>
        <v>3.569901782381449</v>
      </c>
      <c r="N273" s="74">
        <f t="shared" si="112"/>
        <v>-0.0704082021850964</v>
      </c>
      <c r="O273" s="74">
        <f t="shared" si="113"/>
        <v>52.31052931051739</v>
      </c>
      <c r="P273" s="74">
        <f t="shared" si="114"/>
        <v>0.2993793342037715</v>
      </c>
    </row>
    <row r="274" spans="2:16" ht="13.5">
      <c r="B274" s="74">
        <f t="shared" si="106"/>
        <v>41.32382411161184</v>
      </c>
      <c r="C274" s="70">
        <f t="shared" si="118"/>
        <v>50.401</v>
      </c>
      <c r="D274" s="70">
        <f t="shared" si="119"/>
        <v>84</v>
      </c>
      <c r="E274" s="74">
        <f t="shared" si="107"/>
        <v>0.879663396297662</v>
      </c>
      <c r="F274" s="74">
        <f t="shared" si="108"/>
        <v>1.4660765716752369</v>
      </c>
      <c r="G274" s="74">
        <f t="shared" si="109"/>
        <v>125.22384077006787</v>
      </c>
      <c r="H274" s="74">
        <f t="shared" si="110"/>
        <v>15.910153613341771</v>
      </c>
      <c r="I274" s="74">
        <f t="shared" si="116"/>
        <v>15.910153613341771</v>
      </c>
      <c r="J274" s="74">
        <f t="shared" si="120"/>
        <v>12.128168042573405</v>
      </c>
      <c r="K274" s="74">
        <f t="shared" si="117"/>
        <v>29.990563968899536</v>
      </c>
      <c r="L274" s="74">
        <f t="shared" si="111"/>
        <v>2.0540791752228045</v>
      </c>
      <c r="M274" s="74">
        <f t="shared" si="121"/>
        <v>3.602054296824678</v>
      </c>
      <c r="N274" s="74">
        <f t="shared" si="112"/>
        <v>-0.1338838050927462</v>
      </c>
      <c r="O274" s="74">
        <f t="shared" si="113"/>
        <v>51.07905569219709</v>
      </c>
      <c r="P274" s="74">
        <f t="shared" si="114"/>
        <v>0.32911011430590426</v>
      </c>
    </row>
    <row r="275" spans="2:16" ht="13.5">
      <c r="B275" s="74">
        <f t="shared" si="106"/>
        <v>40.85811072564048</v>
      </c>
      <c r="C275" s="70">
        <f t="shared" si="118"/>
        <v>50.401</v>
      </c>
      <c r="D275" s="70">
        <f>D244</f>
        <v>85</v>
      </c>
      <c r="E275" s="74">
        <f t="shared" si="107"/>
        <v>0.879663396297662</v>
      </c>
      <c r="F275" s="74">
        <f t="shared" si="108"/>
        <v>1.4835298641951802</v>
      </c>
      <c r="G275" s="74">
        <f t="shared" si="109"/>
        <v>125.22384077006787</v>
      </c>
      <c r="H275" s="74">
        <f t="shared" si="110"/>
        <v>13.24359644123674</v>
      </c>
      <c r="I275" s="74">
        <f t="shared" si="116"/>
        <v>13.24359644123674</v>
      </c>
      <c r="J275" s="74">
        <f t="shared" si="120"/>
        <v>9.956756386451493</v>
      </c>
      <c r="K275" s="74">
        <f t="shared" si="117"/>
        <v>28.944639396851734</v>
      </c>
      <c r="L275" s="74">
        <f t="shared" si="111"/>
        <v>2.0715324677427476</v>
      </c>
      <c r="M275" s="74">
        <f t="shared" si="121"/>
        <v>3.6359088404790922</v>
      </c>
      <c r="N275" s="74">
        <f t="shared" si="112"/>
        <v>-0.1985330643260647</v>
      </c>
      <c r="O275" s="74">
        <f t="shared" si="113"/>
        <v>49.878543318663795</v>
      </c>
      <c r="P275" s="74">
        <f t="shared" si="114"/>
        <v>0.3597095155492326</v>
      </c>
    </row>
    <row r="276" spans="2:16" ht="13.5">
      <c r="B276" s="74">
        <f t="shared" si="106"/>
        <v>40.379884118333116</v>
      </c>
      <c r="C276" s="70">
        <f t="shared" si="118"/>
        <v>50.401</v>
      </c>
      <c r="D276" s="70">
        <f t="shared" si="119"/>
        <v>86</v>
      </c>
      <c r="E276" s="74">
        <f t="shared" si="107"/>
        <v>0.879663396297662</v>
      </c>
      <c r="F276" s="74">
        <f t="shared" si="108"/>
        <v>1.5009831567151233</v>
      </c>
      <c r="G276" s="74">
        <f t="shared" si="109"/>
        <v>125.22384077006787</v>
      </c>
      <c r="H276" s="74">
        <f t="shared" si="110"/>
        <v>10.585171157948913</v>
      </c>
      <c r="I276" s="74">
        <f t="shared" si="116"/>
        <v>10.585171157948913</v>
      </c>
      <c r="J276" s="74">
        <f t="shared" si="120"/>
        <v>7.743460086500027</v>
      </c>
      <c r="K276" s="74">
        <f t="shared" si="117"/>
        <v>27.90190445914594</v>
      </c>
      <c r="L276" s="74">
        <f t="shared" si="111"/>
        <v>2.0889857602626907</v>
      </c>
      <c r="M276" s="74">
        <f t="shared" si="121"/>
        <v>3.6715347939252476</v>
      </c>
      <c r="N276" s="74">
        <f t="shared" si="112"/>
        <v>-0.26442935158799213</v>
      </c>
      <c r="O276" s="74">
        <f t="shared" si="113"/>
        <v>48.7069409820412</v>
      </c>
      <c r="P276" s="74">
        <f t="shared" si="114"/>
        <v>0.39112345705157125</v>
      </c>
    </row>
    <row r="277" spans="2:16" ht="13.5">
      <c r="B277" s="74">
        <f>O277*SIN(F277-F$4)</f>
        <v>39.889086813508115</v>
      </c>
      <c r="C277" s="70">
        <f t="shared" si="118"/>
        <v>50.401</v>
      </c>
      <c r="D277" s="70">
        <f t="shared" si="119"/>
        <v>87</v>
      </c>
      <c r="E277" s="74">
        <f t="shared" si="107"/>
        <v>0.879663396297662</v>
      </c>
      <c r="F277" s="74">
        <f t="shared" si="108"/>
        <v>1.5184364492350666</v>
      </c>
      <c r="G277" s="74">
        <f t="shared" si="109"/>
        <v>125.22384077006787</v>
      </c>
      <c r="H277" s="74">
        <f t="shared" si="110"/>
        <v>7.933227588970383</v>
      </c>
      <c r="I277" s="74">
        <f t="shared" si="116"/>
        <v>7.933227588970383</v>
      </c>
      <c r="J277" s="74">
        <f t="shared" si="120"/>
        <v>5.4856666823648865</v>
      </c>
      <c r="K277" s="74">
        <f t="shared" si="117"/>
        <v>26.861711894930572</v>
      </c>
      <c r="L277" s="74">
        <f t="shared" si="111"/>
        <v>2.106439052782634</v>
      </c>
      <c r="M277" s="74">
        <f t="shared" si="121"/>
        <v>3.7090067869585464</v>
      </c>
      <c r="N277" s="74">
        <f t="shared" si="112"/>
        <v>-0.3316504474440855</v>
      </c>
      <c r="O277" s="74">
        <f t="shared" si="113"/>
        <v>47.56228290117351</v>
      </c>
      <c r="P277" s="74">
        <f t="shared" si="114"/>
        <v>0.42329079415969795</v>
      </c>
    </row>
    <row r="278" spans="2:16" ht="13.5">
      <c r="B278" s="74">
        <f aca="true" t="shared" si="122" ref="B278:B341">O278*SIN(F278-F$4)</f>
        <v>39.38562665675849</v>
      </c>
      <c r="C278" s="70">
        <f t="shared" si="118"/>
        <v>50.401</v>
      </c>
      <c r="D278" s="70">
        <f t="shared" si="119"/>
        <v>88</v>
      </c>
      <c r="E278" s="74">
        <f t="shared" si="107"/>
        <v>0.879663396297662</v>
      </c>
      <c r="F278" s="74">
        <f t="shared" si="108"/>
        <v>1.53588974175501</v>
      </c>
      <c r="G278" s="74">
        <f t="shared" si="109"/>
        <v>125.22384077006787</v>
      </c>
      <c r="H278" s="74">
        <f t="shared" si="110"/>
        <v>5.286131481813329</v>
      </c>
      <c r="I278" s="74">
        <f t="shared" si="116"/>
        <v>5.286131481813329</v>
      </c>
      <c r="J278" s="74">
        <f t="shared" si="120"/>
        <v>3.180602221976846</v>
      </c>
      <c r="K278" s="74">
        <f t="shared" si="117"/>
        <v>25.823420688572526</v>
      </c>
      <c r="L278" s="74">
        <f t="shared" si="111"/>
        <v>2.1238923453025773</v>
      </c>
      <c r="M278" s="74">
        <f t="shared" si="121"/>
        <v>3.7484051255774977</v>
      </c>
      <c r="N278" s="74">
        <f t="shared" si="112"/>
        <v>-0.4002789405393484</v>
      </c>
      <c r="O278" s="74">
        <f t="shared" si="113"/>
        <v>46.4426803565321</v>
      </c>
      <c r="P278" s="74">
        <f t="shared" si="114"/>
        <v>0.45614339018764555</v>
      </c>
    </row>
    <row r="279" spans="2:16" ht="13.5">
      <c r="B279" s="74">
        <f t="shared" si="122"/>
        <v>38.86937742259979</v>
      </c>
      <c r="C279" s="70">
        <f t="shared" si="118"/>
        <v>50.401</v>
      </c>
      <c r="D279" s="70">
        <f>D248</f>
        <v>89</v>
      </c>
      <c r="E279" s="74">
        <f t="shared" si="107"/>
        <v>0.879663396297662</v>
      </c>
      <c r="F279" s="74">
        <f t="shared" si="108"/>
        <v>1.5533430342749535</v>
      </c>
      <c r="G279" s="74">
        <f t="shared" si="109"/>
        <v>125.22384077006787</v>
      </c>
      <c r="H279" s="74">
        <f t="shared" si="110"/>
        <v>2.642260453508916</v>
      </c>
      <c r="I279" s="74">
        <f t="shared" si="116"/>
        <v>2.642260453508916</v>
      </c>
      <c r="J279" s="74">
        <f t="shared" si="120"/>
        <v>0.8253164850416557</v>
      </c>
      <c r="K279" s="74">
        <f t="shared" si="117"/>
        <v>24.78639448011291</v>
      </c>
      <c r="L279" s="74">
        <f t="shared" si="111"/>
        <v>2.141345637822521</v>
      </c>
      <c r="M279" s="74">
        <f t="shared" si="121"/>
        <v>3.7898162648555984</v>
      </c>
      <c r="N279" s="74">
        <f t="shared" si="112"/>
        <v>-0.47040266753803595</v>
      </c>
      <c r="O279" s="74">
        <f t="shared" si="113"/>
        <v>45.34631383017245</v>
      </c>
      <c r="P279" s="74">
        <f t="shared" si="114"/>
        <v>0.48960640022040397</v>
      </c>
    </row>
    <row r="280" spans="2:16" ht="13.5">
      <c r="B280" s="74">
        <f t="shared" si="122"/>
        <v>38.3401792210378</v>
      </c>
      <c r="C280" s="70">
        <f t="shared" si="118"/>
        <v>50.401</v>
      </c>
      <c r="D280" s="70">
        <f t="shared" si="119"/>
        <v>90</v>
      </c>
      <c r="E280" s="74">
        <f t="shared" si="107"/>
        <v>0.879663396297662</v>
      </c>
      <c r="F280" s="74">
        <f t="shared" si="108"/>
        <v>1.5707963267948966</v>
      </c>
      <c r="G280" s="74">
        <f t="shared" si="109"/>
        <v>125.22384077006787</v>
      </c>
      <c r="H280" s="74">
        <f t="shared" si="110"/>
        <v>9.272842368089618E-15</v>
      </c>
      <c r="I280" s="74">
        <f t="shared" si="116"/>
        <v>9.272842368089618E-15</v>
      </c>
      <c r="J280" s="74">
        <f t="shared" si="120"/>
        <v>-1.5833333333333073</v>
      </c>
      <c r="K280" s="74">
        <f t="shared" si="117"/>
        <v>23.750000000000007</v>
      </c>
      <c r="L280" s="74">
        <f t="shared" si="111"/>
        <v>2.158798930342464</v>
      </c>
      <c r="M280" s="74">
        <f t="shared" si="121"/>
        <v>3.8333333333333317</v>
      </c>
      <c r="N280" s="74">
        <f t="shared" si="112"/>
        <v>-0.5421151989096857</v>
      </c>
      <c r="O280" s="74">
        <f t="shared" si="113"/>
        <v>44.271425588089336</v>
      </c>
      <c r="P280" s="74">
        <f t="shared" si="114"/>
        <v>0.5235987755982985</v>
      </c>
    </row>
    <row r="281" spans="2:16" ht="13.5">
      <c r="B281" s="74">
        <f t="shared" si="122"/>
        <v>41.721148411903116</v>
      </c>
      <c r="C281" s="70">
        <f>C280+J214</f>
        <v>52.801</v>
      </c>
      <c r="D281" s="70">
        <f>D250</f>
        <v>60</v>
      </c>
      <c r="E281" s="74">
        <f t="shared" si="107"/>
        <v>0.921551298345526</v>
      </c>
      <c r="F281" s="74">
        <f t="shared" si="108"/>
        <v>1.0471975511965976</v>
      </c>
      <c r="G281" s="74">
        <f t="shared" si="109"/>
        <v>114.89571465909741</v>
      </c>
      <c r="H281" s="74">
        <f t="shared" si="110"/>
        <v>56.61327536344993</v>
      </c>
      <c r="I281" s="74">
        <f t="shared" si="116"/>
        <v>87.39639699857963</v>
      </c>
      <c r="J281" s="74">
        <f t="shared" si="120"/>
        <v>56.61327536344993</v>
      </c>
      <c r="K281" s="74">
        <f t="shared" si="117"/>
        <v>58.03017223313404</v>
      </c>
      <c r="L281" s="74">
        <f t="shared" si="111"/>
        <v>1.6352001547441652</v>
      </c>
      <c r="M281" s="74">
        <f t="shared" si="121"/>
        <v>3.196152422706631</v>
      </c>
      <c r="N281" s="74">
        <f t="shared" si="112"/>
        <v>1.1905676074715958</v>
      </c>
      <c r="O281" s="74">
        <f t="shared" si="113"/>
        <v>83.44229682380625</v>
      </c>
      <c r="P281" s="74">
        <f t="shared" si="114"/>
        <v>0.35886402592356453</v>
      </c>
    </row>
    <row r="282" spans="2:16" ht="13.5">
      <c r="B282" s="74">
        <f t="shared" si="122"/>
        <v>42.00104482430675</v>
      </c>
      <c r="C282" s="70">
        <f>C281</f>
        <v>52.801</v>
      </c>
      <c r="D282" s="70">
        <f aca="true" t="shared" si="123" ref="D282:D345">D251</f>
        <v>61</v>
      </c>
      <c r="E282" s="74">
        <f t="shared" si="107"/>
        <v>0.921551298345526</v>
      </c>
      <c r="F282" s="74">
        <f t="shared" si="108"/>
        <v>1.064650843716541</v>
      </c>
      <c r="G282" s="74">
        <f t="shared" si="109"/>
        <v>114.89571465909741</v>
      </c>
      <c r="H282" s="74">
        <f t="shared" si="110"/>
        <v>54.91741842603781</v>
      </c>
      <c r="I282" s="74">
        <f t="shared" si="116"/>
        <v>83.90853266366291</v>
      </c>
      <c r="J282" s="74">
        <f t="shared" si="120"/>
        <v>54.91741842603781</v>
      </c>
      <c r="K282" s="74">
        <f t="shared" si="117"/>
        <v>56.662099930008154</v>
      </c>
      <c r="L282" s="74">
        <f t="shared" si="111"/>
        <v>1.6526534472641083</v>
      </c>
      <c r="M282" s="74">
        <f t="shared" si="121"/>
        <v>3.200241894286732</v>
      </c>
      <c r="N282" s="74">
        <f t="shared" si="112"/>
        <v>1.1400769994561701</v>
      </c>
      <c r="O282" s="74">
        <f t="shared" si="113"/>
        <v>81.54939774431585</v>
      </c>
      <c r="P282" s="74">
        <f t="shared" si="114"/>
        <v>0.3426794086537661</v>
      </c>
    </row>
    <row r="283" spans="2:16" ht="13.5">
      <c r="B283" s="74">
        <f t="shared" si="122"/>
        <v>42.24859525652514</v>
      </c>
      <c r="C283" s="70">
        <f aca="true" t="shared" si="124" ref="C283:C311">C282</f>
        <v>52.801</v>
      </c>
      <c r="D283" s="70">
        <f t="shared" si="123"/>
        <v>62</v>
      </c>
      <c r="E283" s="74">
        <f t="shared" si="107"/>
        <v>0.921551298345526</v>
      </c>
      <c r="F283" s="74">
        <f t="shared" si="108"/>
        <v>1.0821041362364843</v>
      </c>
      <c r="G283" s="74">
        <f t="shared" si="109"/>
        <v>114.89571465909741</v>
      </c>
      <c r="H283" s="74">
        <f t="shared" si="110"/>
        <v>53.21669751699319</v>
      </c>
      <c r="I283" s="74">
        <f t="shared" si="116"/>
        <v>80.48751521775635</v>
      </c>
      <c r="J283" s="74">
        <f t="shared" si="120"/>
        <v>53.21669751699319</v>
      </c>
      <c r="K283" s="74">
        <f t="shared" si="117"/>
        <v>55.3202475049003</v>
      </c>
      <c r="L283" s="74">
        <f t="shared" si="111"/>
        <v>1.6701067397840519</v>
      </c>
      <c r="M283" s="74">
        <f>J$18/SIN(L283)*SIN(J$19)</f>
        <v>3.205319466443784</v>
      </c>
      <c r="N283" s="74">
        <f t="shared" si="112"/>
        <v>1.0894415768165406</v>
      </c>
      <c r="O283" s="74">
        <f t="shared" si="113"/>
        <v>79.72647553709717</v>
      </c>
      <c r="P283" s="74">
        <f t="shared" si="114"/>
        <v>0.32838899381902</v>
      </c>
    </row>
    <row r="284" spans="2:16" ht="13.5">
      <c r="B284" s="74">
        <f t="shared" si="122"/>
        <v>42.46502341116136</v>
      </c>
      <c r="C284" s="70">
        <f t="shared" si="124"/>
        <v>52.801</v>
      </c>
      <c r="D284" s="70">
        <f t="shared" si="123"/>
        <v>63</v>
      </c>
      <c r="E284" s="74">
        <f aca="true" t="shared" si="125" ref="E284:E347">C284*PI()/180</f>
        <v>0.921551298345526</v>
      </c>
      <c r="F284" s="74">
        <f aca="true" t="shared" si="126" ref="F284:F347">D284*PI()/180</f>
        <v>1.0995574287564276</v>
      </c>
      <c r="G284" s="74">
        <f aca="true" t="shared" si="127" ref="G284:G347">(0.5*$D$3*$D$9+$D$5)*$D$9/TAN(E284)</f>
        <v>114.89571465909741</v>
      </c>
      <c r="H284" s="74">
        <f aca="true" t="shared" si="128" ref="H284:H347">IF(D284&gt;$F$17,I284,IF(D284&lt;$F$16,K284,J284))</f>
        <v>51.51005054407396</v>
      </c>
      <c r="I284" s="74">
        <f t="shared" si="116"/>
        <v>77.12941491721917</v>
      </c>
      <c r="J284" s="74">
        <f t="shared" si="120"/>
        <v>51.51005054407396</v>
      </c>
      <c r="K284" s="74">
        <f t="shared" si="117"/>
        <v>54.00307356373172</v>
      </c>
      <c r="L284" s="74">
        <f aca="true" t="shared" si="129" ref="L284:L347">F284+D$14</f>
        <v>1.687560032303995</v>
      </c>
      <c r="M284" s="74">
        <f>J$18/SIN(L284)*SIN(J$19)</f>
        <v>3.2113929525108333</v>
      </c>
      <c r="N284" s="74">
        <f aca="true" t="shared" si="130" ref="N284:N347">M284*SIN(D$17-F284)</f>
        <v>1.0386297179684278</v>
      </c>
      <c r="O284" s="74">
        <f aca="true" t="shared" si="131" ref="O284:O347">SIN(E284-F$4)/SIN(E284+F284-2*F$4)*(G284+H284)</f>
        <v>77.96911473668007</v>
      </c>
      <c r="P284" s="74">
        <f aca="true" t="shared" si="132" ref="P284:P347">ATAN((O284*COS(F284-F$4)-H284)/(O284*SIN(F284-F$4)))</f>
        <v>0.3159182554931624</v>
      </c>
    </row>
    <row r="285" spans="2:16" ht="13.5">
      <c r="B285" s="74">
        <f t="shared" si="122"/>
        <v>42.651425982309696</v>
      </c>
      <c r="C285" s="70">
        <f t="shared" si="124"/>
        <v>52.801</v>
      </c>
      <c r="D285" s="70">
        <f t="shared" si="123"/>
        <v>64</v>
      </c>
      <c r="E285" s="74">
        <f t="shared" si="125"/>
        <v>0.921551298345526</v>
      </c>
      <c r="F285" s="74">
        <f t="shared" si="126"/>
        <v>1.117010721276371</v>
      </c>
      <c r="G285" s="74">
        <f t="shared" si="127"/>
        <v>114.89571465909741</v>
      </c>
      <c r="H285" s="74">
        <f t="shared" si="128"/>
        <v>49.7964007486329</v>
      </c>
      <c r="I285" s="74">
        <f t="shared" si="116"/>
        <v>73.83052059415728</v>
      </c>
      <c r="J285" s="74">
        <f aca="true" t="shared" si="133" ref="J285:J294">0.5*$J$18*N285*$D$3+$G$18</f>
        <v>49.7964007486329</v>
      </c>
      <c r="K285" s="74">
        <f t="shared" si="117"/>
        <v>52.70912244609802</v>
      </c>
      <c r="L285" s="74">
        <f t="shared" si="129"/>
        <v>1.7050133248239385</v>
      </c>
      <c r="M285" s="74">
        <f aca="true" t="shared" si="134" ref="M285:M294">J$18/SIN(L285)*SIN(J$19)</f>
        <v>3.21847173736185</v>
      </c>
      <c r="N285" s="74">
        <f t="shared" si="130"/>
        <v>0.9876093646658881</v>
      </c>
      <c r="O285" s="74">
        <f t="shared" si="131"/>
        <v>76.27318894353766</v>
      </c>
      <c r="P285" s="74">
        <f t="shared" si="132"/>
        <v>0.30519792634424303</v>
      </c>
    </row>
    <row r="286" spans="2:16" ht="13.5">
      <c r="B286" s="74">
        <f t="shared" si="122"/>
        <v>42.80878174690323</v>
      </c>
      <c r="C286" s="70">
        <f t="shared" si="124"/>
        <v>52.801</v>
      </c>
      <c r="D286" s="70">
        <f t="shared" si="123"/>
        <v>65</v>
      </c>
      <c r="E286" s="74">
        <f t="shared" si="125"/>
        <v>0.921551298345526</v>
      </c>
      <c r="F286" s="74">
        <f t="shared" si="126"/>
        <v>1.1344640137963142</v>
      </c>
      <c r="G286" s="74">
        <f t="shared" si="127"/>
        <v>114.89571465909741</v>
      </c>
      <c r="H286" s="74">
        <f t="shared" si="128"/>
        <v>48.07465394252364</v>
      </c>
      <c r="I286" s="74">
        <f t="shared" si="116"/>
        <v>70.58732175321292</v>
      </c>
      <c r="J286" s="74">
        <f t="shared" si="133"/>
        <v>48.07465394252364</v>
      </c>
      <c r="K286" s="74">
        <f t="shared" si="117"/>
        <v>51.43701720295304</v>
      </c>
      <c r="L286" s="74">
        <f t="shared" si="129"/>
        <v>1.7224666173438816</v>
      </c>
      <c r="M286" s="74">
        <f t="shared" si="134"/>
        <v>3.2265668130425462</v>
      </c>
      <c r="N286" s="74">
        <f t="shared" si="130"/>
        <v>0.9363479397359457</v>
      </c>
      <c r="O286" s="74">
        <f t="shared" si="131"/>
        <v>74.63483336108138</v>
      </c>
      <c r="P286" s="74">
        <f t="shared" si="132"/>
        <v>0.2961646412220738</v>
      </c>
    </row>
    <row r="287" spans="2:16" ht="13.5">
      <c r="B287" s="74">
        <f t="shared" si="122"/>
        <v>42.93795954170084</v>
      </c>
      <c r="C287" s="70">
        <f t="shared" si="124"/>
        <v>52.801</v>
      </c>
      <c r="D287" s="70">
        <f t="shared" si="123"/>
        <v>66</v>
      </c>
      <c r="E287" s="74">
        <f t="shared" si="125"/>
        <v>0.921551298345526</v>
      </c>
      <c r="F287" s="74">
        <f t="shared" si="126"/>
        <v>1.1519173063162575</v>
      </c>
      <c r="G287" s="74">
        <f t="shared" si="127"/>
        <v>114.89571465909741</v>
      </c>
      <c r="H287" s="74">
        <f t="shared" si="128"/>
        <v>46.34369565210348</v>
      </c>
      <c r="I287" s="74">
        <f t="shared" si="116"/>
        <v>67.39649223857965</v>
      </c>
      <c r="J287" s="74">
        <f t="shared" si="133"/>
        <v>46.34369565210348</v>
      </c>
      <c r="K287" s="74">
        <f t="shared" si="117"/>
        <v>50.18545319019432</v>
      </c>
      <c r="L287" s="74">
        <f t="shared" si="129"/>
        <v>1.7399199098638252</v>
      </c>
      <c r="M287" s="74">
        <f t="shared" si="134"/>
        <v>3.235690820800044</v>
      </c>
      <c r="N287" s="74">
        <f t="shared" si="130"/>
        <v>0.8848122620472225</v>
      </c>
      <c r="O287" s="74">
        <f t="shared" si="131"/>
        <v>73.05041998627</v>
      </c>
      <c r="P287" s="74">
        <f t="shared" si="132"/>
        <v>0.28876133463288306</v>
      </c>
    </row>
    <row r="288" spans="2:16" ht="13.5">
      <c r="B288" s="74">
        <f t="shared" si="122"/>
        <v>43.03972524268694</v>
      </c>
      <c r="C288" s="70">
        <f t="shared" si="124"/>
        <v>52.801</v>
      </c>
      <c r="D288" s="70">
        <f t="shared" si="123"/>
        <v>67</v>
      </c>
      <c r="E288" s="74">
        <f t="shared" si="125"/>
        <v>0.921551298345526</v>
      </c>
      <c r="F288" s="74">
        <f t="shared" si="126"/>
        <v>1.1693705988362006</v>
      </c>
      <c r="G288" s="74">
        <f t="shared" si="127"/>
        <v>114.89571465909741</v>
      </c>
      <c r="H288" s="74">
        <f t="shared" si="128"/>
        <v>44.602388153158174</v>
      </c>
      <c r="I288" s="74">
        <f t="shared" si="116"/>
        <v>64.25487530372895</v>
      </c>
      <c r="J288" s="74">
        <f t="shared" si="133"/>
        <v>44.602388153158174</v>
      </c>
      <c r="K288" s="74">
        <f t="shared" si="117"/>
        <v>48.95319221244529</v>
      </c>
      <c r="L288" s="74">
        <f t="shared" si="129"/>
        <v>1.7573732023837683</v>
      </c>
      <c r="M288" s="74">
        <f t="shared" si="134"/>
        <v>3.2458580998131934</v>
      </c>
      <c r="N288" s="74">
        <f t="shared" si="130"/>
        <v>0.8329684582310031</v>
      </c>
      <c r="O288" s="74">
        <f t="shared" si="131"/>
        <v>71.51653512613125</v>
      </c>
      <c r="P288" s="74">
        <f t="shared" si="132"/>
        <v>0.282937452012956</v>
      </c>
    </row>
    <row r="289" spans="2:16" ht="13.5">
      <c r="B289" s="74">
        <f t="shared" si="122"/>
        <v>43.1147478466702</v>
      </c>
      <c r="C289" s="70">
        <f t="shared" si="124"/>
        <v>52.801</v>
      </c>
      <c r="D289" s="70">
        <f t="shared" si="123"/>
        <v>68</v>
      </c>
      <c r="E289" s="74">
        <f t="shared" si="125"/>
        <v>0.921551298345526</v>
      </c>
      <c r="F289" s="74">
        <f t="shared" si="126"/>
        <v>1.1868238913561442</v>
      </c>
      <c r="G289" s="74">
        <f t="shared" si="127"/>
        <v>114.89571465909741</v>
      </c>
      <c r="H289" s="74">
        <f t="shared" si="128"/>
        <v>42.84956737955771</v>
      </c>
      <c r="I289" s="74">
        <f t="shared" si="116"/>
        <v>61.15946993579685</v>
      </c>
      <c r="J289" s="74">
        <f t="shared" si="133"/>
        <v>42.84956737955771</v>
      </c>
      <c r="K289" s="74">
        <f t="shared" si="117"/>
        <v>47.739057158962424</v>
      </c>
      <c r="L289" s="74">
        <f t="shared" si="129"/>
        <v>1.7748264949037118</v>
      </c>
      <c r="M289" s="74">
        <f t="shared" si="134"/>
        <v>3.2570847429771757</v>
      </c>
      <c r="N289" s="74">
        <f t="shared" si="130"/>
        <v>0.7807818706428962</v>
      </c>
      <c r="O289" s="74">
        <f t="shared" si="131"/>
        <v>70.02995895408975</v>
      </c>
      <c r="P289" s="74">
        <f t="shared" si="132"/>
        <v>0.2786490227217193</v>
      </c>
    </row>
    <row r="290" spans="2:16" ht="13.5">
      <c r="B290" s="74">
        <f t="shared" si="122"/>
        <v>43.163604740184454</v>
      </c>
      <c r="C290" s="70">
        <f t="shared" si="124"/>
        <v>52.801</v>
      </c>
      <c r="D290" s="70">
        <f t="shared" si="123"/>
        <v>69</v>
      </c>
      <c r="E290" s="74">
        <f t="shared" si="125"/>
        <v>0.921551298345526</v>
      </c>
      <c r="F290" s="74">
        <f t="shared" si="126"/>
        <v>1.2042771838760873</v>
      </c>
      <c r="G290" s="74">
        <f t="shared" si="127"/>
        <v>114.89571465909741</v>
      </c>
      <c r="H290" s="74">
        <f t="shared" si="128"/>
        <v>41.08403968726031</v>
      </c>
      <c r="I290" s="74">
        <f t="shared" si="116"/>
        <v>58.107418303486085</v>
      </c>
      <c r="J290" s="74">
        <f t="shared" si="133"/>
        <v>41.08403968726031</v>
      </c>
      <c r="K290" s="74">
        <f t="shared" si="117"/>
        <v>46.54192708022782</v>
      </c>
      <c r="L290" s="74">
        <f t="shared" si="129"/>
        <v>1.792279787423655</v>
      </c>
      <c r="M290" s="74">
        <f t="shared" si="134"/>
        <v>3.2693886601519666</v>
      </c>
      <c r="N290" s="74">
        <f t="shared" si="130"/>
        <v>0.7282169610177962</v>
      </c>
      <c r="O290" s="74">
        <f t="shared" si="131"/>
        <v>68.58764685533005</v>
      </c>
      <c r="P290" s="74">
        <f t="shared" si="132"/>
        <v>0.27585863204817057</v>
      </c>
    </row>
    <row r="291" spans="2:16" ht="13.5">
      <c r="B291" s="74">
        <f t="shared" si="122"/>
        <v>43.18678622802882</v>
      </c>
      <c r="C291" s="70">
        <f t="shared" si="124"/>
        <v>52.801</v>
      </c>
      <c r="D291" s="70">
        <f t="shared" si="123"/>
        <v>70</v>
      </c>
      <c r="E291" s="74">
        <f t="shared" si="125"/>
        <v>0.921551298345526</v>
      </c>
      <c r="F291" s="74">
        <f t="shared" si="126"/>
        <v>1.2217304763960306</v>
      </c>
      <c r="G291" s="74">
        <f t="shared" si="127"/>
        <v>114.89571465909741</v>
      </c>
      <c r="H291" s="74">
        <f t="shared" si="128"/>
        <v>39.30457845389725</v>
      </c>
      <c r="I291" s="74">
        <f t="shared" si="116"/>
        <v>55.09599421204639</v>
      </c>
      <c r="J291" s="74">
        <f t="shared" si="133"/>
        <v>39.30457845389725</v>
      </c>
      <c r="K291" s="74">
        <f t="shared" si="117"/>
        <v>45.360732659555765</v>
      </c>
      <c r="L291" s="74">
        <f t="shared" si="129"/>
        <v>1.809733079943598</v>
      </c>
      <c r="M291" s="74">
        <f t="shared" si="134"/>
        <v>3.2827896493451227</v>
      </c>
      <c r="N291" s="74">
        <f t="shared" si="130"/>
        <v>0.6752372092296027</v>
      </c>
      <c r="O291" s="74">
        <f t="shared" si="131"/>
        <v>67.18671234047156</v>
      </c>
      <c r="P291" s="74">
        <f t="shared" si="132"/>
        <v>0.2745353203752043</v>
      </c>
    </row>
    <row r="292" spans="2:16" ht="13.5">
      <c r="B292" s="74">
        <f t="shared" si="122"/>
        <v>43.18469938260513</v>
      </c>
      <c r="C292" s="70">
        <f t="shared" si="124"/>
        <v>52.801</v>
      </c>
      <c r="D292" s="70">
        <f t="shared" si="123"/>
        <v>71</v>
      </c>
      <c r="E292" s="74">
        <f t="shared" si="125"/>
        <v>0.921551298345526</v>
      </c>
      <c r="F292" s="74">
        <f t="shared" si="126"/>
        <v>1.239183768915974</v>
      </c>
      <c r="G292" s="74">
        <f t="shared" si="127"/>
        <v>114.89571465909741</v>
      </c>
      <c r="H292" s="74">
        <f t="shared" si="128"/>
        <v>37.50992049257642</v>
      </c>
      <c r="I292" s="74">
        <f t="shared" si="116"/>
        <v>52.12259246172309</v>
      </c>
      <c r="J292" s="74">
        <f t="shared" si="133"/>
        <v>37.50992049257642</v>
      </c>
      <c r="K292" s="74">
        <f t="shared" si="117"/>
        <v>44.19445203907388</v>
      </c>
      <c r="L292" s="74">
        <f t="shared" si="129"/>
        <v>1.8271863724635415</v>
      </c>
      <c r="M292" s="74">
        <f t="shared" si="134"/>
        <v>3.297309476365921</v>
      </c>
      <c r="N292" s="74">
        <f t="shared" si="130"/>
        <v>0.6218050065196917</v>
      </c>
      <c r="O292" s="74">
        <f t="shared" si="131"/>
        <v>65.82441133239854</v>
      </c>
      <c r="P292" s="74">
        <f t="shared" si="132"/>
        <v>0.27465442990250793</v>
      </c>
    </row>
    <row r="293" spans="2:16" ht="13.5">
      <c r="B293" s="74">
        <f t="shared" si="122"/>
        <v>43.15767126534574</v>
      </c>
      <c r="C293" s="70">
        <f t="shared" si="124"/>
        <v>52.801</v>
      </c>
      <c r="D293" s="70">
        <f t="shared" si="123"/>
        <v>72</v>
      </c>
      <c r="E293" s="74">
        <f t="shared" si="125"/>
        <v>0.921551298345526</v>
      </c>
      <c r="F293" s="74">
        <f t="shared" si="126"/>
        <v>1.2566370614359172</v>
      </c>
      <c r="G293" s="74">
        <f t="shared" si="127"/>
        <v>114.89571465909741</v>
      </c>
      <c r="H293" s="74">
        <f t="shared" si="128"/>
        <v>35.698762256707205</v>
      </c>
      <c r="I293" s="74">
        <f t="shared" si="116"/>
        <v>49.18471901725621</v>
      </c>
      <c r="J293" s="74">
        <f t="shared" si="133"/>
        <v>35.698762256707205</v>
      </c>
      <c r="K293" s="74">
        <f t="shared" si="117"/>
        <v>43.042106963828815</v>
      </c>
      <c r="L293" s="74">
        <f t="shared" si="129"/>
        <v>1.8446396649834846</v>
      </c>
      <c r="M293" s="74">
        <f t="shared" si="134"/>
        <v>3.3129719635610875</v>
      </c>
      <c r="N293" s="74">
        <f t="shared" si="130"/>
        <v>0.5678815425034818</v>
      </c>
      <c r="O293" s="74">
        <f t="shared" si="131"/>
        <v>64.49812765282486</v>
      </c>
      <c r="P293" s="74">
        <f t="shared" si="132"/>
        <v>0.27619741282278076</v>
      </c>
    </row>
    <row r="294" spans="2:16" ht="13.5">
      <c r="B294" s="74">
        <f t="shared" si="122"/>
        <v>43.105951562739996</v>
      </c>
      <c r="C294" s="70">
        <f t="shared" si="124"/>
        <v>52.801</v>
      </c>
      <c r="D294" s="70">
        <f t="shared" si="123"/>
        <v>73</v>
      </c>
      <c r="E294" s="74">
        <f t="shared" si="125"/>
        <v>0.921551298345526</v>
      </c>
      <c r="F294" s="74">
        <f t="shared" si="126"/>
        <v>1.2740903539558606</v>
      </c>
      <c r="G294" s="74">
        <f t="shared" si="127"/>
        <v>114.89571465909741</v>
      </c>
      <c r="H294" s="74">
        <f t="shared" si="128"/>
        <v>33.86975581055276</v>
      </c>
      <c r="I294" s="74">
        <f t="shared" si="116"/>
        <v>46.27998190580472</v>
      </c>
      <c r="J294" s="74">
        <f t="shared" si="133"/>
        <v>33.86975581055276</v>
      </c>
      <c r="K294" s="74">
        <f t="shared" si="117"/>
        <v>41.90275921160796</v>
      </c>
      <c r="L294" s="74">
        <f t="shared" si="129"/>
        <v>1.8620929575034282</v>
      </c>
      <c r="M294" s="74">
        <f t="shared" si="134"/>
        <v>3.3298030883232532</v>
      </c>
      <c r="N294" s="74">
        <f t="shared" si="130"/>
        <v>0.5134266852020202</v>
      </c>
      <c r="O294" s="74">
        <f t="shared" si="131"/>
        <v>63.205359553635525</v>
      </c>
      <c r="P294" s="74">
        <f t="shared" si="132"/>
        <v>0.2791516093718248</v>
      </c>
    </row>
    <row r="295" spans="2:16" ht="13.5">
      <c r="B295" s="74">
        <f t="shared" si="122"/>
        <v>43.02971467156236</v>
      </c>
      <c r="C295" s="70">
        <f t="shared" si="124"/>
        <v>52.801</v>
      </c>
      <c r="D295" s="70">
        <f t="shared" si="123"/>
        <v>74</v>
      </c>
      <c r="E295" s="74">
        <f t="shared" si="125"/>
        <v>0.921551298345526</v>
      </c>
      <c r="F295" s="74">
        <f t="shared" si="126"/>
        <v>1.2915436464758039</v>
      </c>
      <c r="G295" s="74">
        <f t="shared" si="127"/>
        <v>114.89571465909741</v>
      </c>
      <c r="H295" s="74">
        <f t="shared" si="128"/>
        <v>32.02150453781869</v>
      </c>
      <c r="I295" s="74">
        <f aca="true" t="shared" si="135" ref="I295:I315">(0.5*$D$3*$D$9+$D$6)*$D$9/TAN(F295)</f>
        <v>43.40608276923955</v>
      </c>
      <c r="J295" s="74">
        <f aca="true" t="shared" si="136" ref="J295:J326">0.5*$J$18*N295*$D$3+$G$18</f>
        <v>32.02150453781869</v>
      </c>
      <c r="K295" s="74">
        <f aca="true" t="shared" si="137" ref="K295:K315">0.5*$D$3*$D$8^2*(1/TAN(F295)-1/TAN($D$16))+$G$19</f>
        <v>40.77550727942922</v>
      </c>
      <c r="L295" s="74">
        <f t="shared" si="129"/>
        <v>1.8795462500233713</v>
      </c>
      <c r="M295" s="74">
        <f aca="true" t="shared" si="138" ref="M295:M326">J$18/SIN(L295)*SIN(J$19)</f>
        <v>3.347831092152982</v>
      </c>
      <c r="N295" s="74">
        <f t="shared" si="130"/>
        <v>0.4583988532741495</v>
      </c>
      <c r="O295" s="74">
        <f t="shared" si="131"/>
        <v>61.94370715367665</v>
      </c>
      <c r="P295" s="74">
        <f t="shared" si="132"/>
        <v>0.2835099995198167</v>
      </c>
    </row>
    <row r="296" spans="2:16" ht="13.5">
      <c r="B296" s="74">
        <f t="shared" si="122"/>
        <v>42.92906126070805</v>
      </c>
      <c r="C296" s="70">
        <f t="shared" si="124"/>
        <v>52.801</v>
      </c>
      <c r="D296" s="70">
        <f t="shared" si="123"/>
        <v>75</v>
      </c>
      <c r="E296" s="74">
        <f t="shared" si="125"/>
        <v>0.921551298345526</v>
      </c>
      <c r="F296" s="74">
        <f t="shared" si="126"/>
        <v>1.3089969389957472</v>
      </c>
      <c r="G296" s="74">
        <f t="shared" si="127"/>
        <v>114.89571465909741</v>
      </c>
      <c r="H296" s="74">
        <f t="shared" si="128"/>
        <v>30.152558557855457</v>
      </c>
      <c r="I296" s="74">
        <f t="shared" si="135"/>
        <v>40.560809004261195</v>
      </c>
      <c r="J296" s="74">
        <f t="shared" si="136"/>
        <v>30.152558557855457</v>
      </c>
      <c r="K296" s="74">
        <f t="shared" si="137"/>
        <v>39.65948330059791</v>
      </c>
      <c r="L296" s="74">
        <f t="shared" si="129"/>
        <v>1.8969995425433148</v>
      </c>
      <c r="M296" s="74">
        <f t="shared" si="138"/>
        <v>3.3670866011551928</v>
      </c>
      <c r="N296" s="74">
        <f t="shared" si="130"/>
        <v>0.4027548795434824</v>
      </c>
      <c r="O296" s="74">
        <f t="shared" si="131"/>
        <v>60.71086065483876</v>
      </c>
      <c r="P296" s="74">
        <f t="shared" si="132"/>
        <v>0.28927092804407384</v>
      </c>
    </row>
    <row r="297" spans="2:16" ht="13.5">
      <c r="B297" s="74">
        <f t="shared" si="122"/>
        <v>42.804019330400166</v>
      </c>
      <c r="C297" s="70">
        <f t="shared" si="124"/>
        <v>52.801</v>
      </c>
      <c r="D297" s="70">
        <f t="shared" si="123"/>
        <v>76</v>
      </c>
      <c r="E297" s="74">
        <f t="shared" si="125"/>
        <v>0.921551298345526</v>
      </c>
      <c r="F297" s="74">
        <f t="shared" si="126"/>
        <v>1.3264502315156903</v>
      </c>
      <c r="G297" s="74">
        <f t="shared" si="127"/>
        <v>114.89571465909741</v>
      </c>
      <c r="H297" s="74">
        <f t="shared" si="128"/>
        <v>28.2614098159386</v>
      </c>
      <c r="I297" s="74">
        <f t="shared" si="135"/>
        <v>37.7420264303865</v>
      </c>
      <c r="J297" s="74">
        <f t="shared" si="136"/>
        <v>28.2614098159386</v>
      </c>
      <c r="K297" s="74">
        <f t="shared" si="137"/>
        <v>38.55385016881386</v>
      </c>
      <c r="L297" s="74">
        <f t="shared" si="129"/>
        <v>1.914452835063258</v>
      </c>
      <c r="M297" s="74">
        <f t="shared" si="138"/>
        <v>3.3876027589624966</v>
      </c>
      <c r="N297" s="74">
        <f t="shared" si="130"/>
        <v>0.34644986482172163</v>
      </c>
      <c r="O297" s="74">
        <f t="shared" si="131"/>
        <v>59.50458922229644</v>
      </c>
      <c r="P297" s="74">
        <f t="shared" si="132"/>
        <v>0.2964377991557488</v>
      </c>
    </row>
    <row r="298" spans="2:16" ht="13.5">
      <c r="B298" s="74">
        <f t="shared" si="122"/>
        <v>42.654544783308495</v>
      </c>
      <c r="C298" s="70">
        <f t="shared" si="124"/>
        <v>52.801</v>
      </c>
      <c r="D298" s="70">
        <f t="shared" si="123"/>
        <v>77</v>
      </c>
      <c r="E298" s="74">
        <f t="shared" si="125"/>
        <v>0.921551298345526</v>
      </c>
      <c r="F298" s="74">
        <f t="shared" si="126"/>
        <v>1.3439035240356338</v>
      </c>
      <c r="G298" s="74">
        <f t="shared" si="127"/>
        <v>114.89571465909741</v>
      </c>
      <c r="H298" s="74">
        <f t="shared" si="128"/>
        <v>26.34648681054474</v>
      </c>
      <c r="I298" s="74">
        <f t="shared" si="135"/>
        <v>34.9476724316321</v>
      </c>
      <c r="J298" s="74">
        <f t="shared" si="136"/>
        <v>26.34648681054474</v>
      </c>
      <c r="K298" s="74">
        <f t="shared" si="137"/>
        <v>37.4577988480803</v>
      </c>
      <c r="L298" s="74">
        <f t="shared" si="129"/>
        <v>1.9319061275832015</v>
      </c>
      <c r="M298" s="74">
        <f t="shared" si="138"/>
        <v>3.409415373203253</v>
      </c>
      <c r="N298" s="74">
        <f t="shared" si="130"/>
        <v>0.2894370209242849</v>
      </c>
      <c r="O298" s="74">
        <f t="shared" si="131"/>
        <v>58.32273042287753</v>
      </c>
      <c r="P298" s="74">
        <f t="shared" si="132"/>
        <v>0.3050187336120933</v>
      </c>
    </row>
    <row r="299" spans="2:16" ht="13.5">
      <c r="B299" s="74">
        <f t="shared" si="122"/>
        <v>42.480521516194976</v>
      </c>
      <c r="C299" s="70">
        <f t="shared" si="124"/>
        <v>52.801</v>
      </c>
      <c r="D299" s="70">
        <f t="shared" si="123"/>
        <v>78</v>
      </c>
      <c r="E299" s="74">
        <f t="shared" si="125"/>
        <v>0.921551298345526</v>
      </c>
      <c r="F299" s="74">
        <f t="shared" si="126"/>
        <v>1.361356816555577</v>
      </c>
      <c r="G299" s="74">
        <f t="shared" si="127"/>
        <v>114.89571465909741</v>
      </c>
      <c r="H299" s="74">
        <f t="shared" si="128"/>
        <v>24.40614891650218</v>
      </c>
      <c r="I299" s="74">
        <f t="shared" si="135"/>
        <v>32.17574952279962</v>
      </c>
      <c r="J299" s="74">
        <f t="shared" si="136"/>
        <v>24.40614891650218</v>
      </c>
      <c r="K299" s="74">
        <f t="shared" si="137"/>
        <v>36.370545849157565</v>
      </c>
      <c r="L299" s="74">
        <f t="shared" si="129"/>
        <v>1.9493594201031446</v>
      </c>
      <c r="M299" s="74">
        <f t="shared" si="138"/>
        <v>3.4325630767730444</v>
      </c>
      <c r="N299" s="74">
        <f t="shared" si="130"/>
        <v>0.23166750165393885</v>
      </c>
      <c r="O299" s="74">
        <f t="shared" si="131"/>
        <v>57.16318012293984</v>
      </c>
      <c r="P299" s="74">
        <f t="shared" si="132"/>
        <v>0.31502617824139306</v>
      </c>
    </row>
    <row r="300" spans="2:16" ht="13.5">
      <c r="B300" s="74">
        <f t="shared" si="122"/>
        <v>42.28176103495472</v>
      </c>
      <c r="C300" s="70">
        <f t="shared" si="124"/>
        <v>52.801</v>
      </c>
      <c r="D300" s="70">
        <f t="shared" si="123"/>
        <v>79</v>
      </c>
      <c r="E300" s="74">
        <f t="shared" si="125"/>
        <v>0.921551298345526</v>
      </c>
      <c r="F300" s="74">
        <f t="shared" si="126"/>
        <v>1.3788101090755203</v>
      </c>
      <c r="G300" s="74">
        <f t="shared" si="127"/>
        <v>114.89571465909741</v>
      </c>
      <c r="H300" s="74">
        <f t="shared" si="128"/>
        <v>22.438680258289008</v>
      </c>
      <c r="I300" s="74">
        <f t="shared" si="135"/>
        <v>29.424319295722153</v>
      </c>
      <c r="J300" s="74">
        <f t="shared" si="136"/>
        <v>22.438680258289008</v>
      </c>
      <c r="K300" s="74">
        <f t="shared" si="137"/>
        <v>35.29133085505204</v>
      </c>
      <c r="L300" s="74">
        <f t="shared" si="129"/>
        <v>1.9668127126230877</v>
      </c>
      <c r="M300" s="74">
        <f t="shared" si="138"/>
        <v>3.4570875053272205</v>
      </c>
      <c r="N300" s="74">
        <f t="shared" si="130"/>
        <v>0.17309022039101127</v>
      </c>
      <c r="O300" s="74">
        <f t="shared" si="131"/>
        <v>56.02388275298449</v>
      </c>
      <c r="P300" s="74">
        <f t="shared" si="132"/>
        <v>0.32647645499645794</v>
      </c>
    </row>
    <row r="301" spans="2:16" ht="13.5">
      <c r="B301" s="74">
        <f t="shared" si="122"/>
        <v>42.05800159024844</v>
      </c>
      <c r="C301" s="70">
        <f t="shared" si="124"/>
        <v>52.801</v>
      </c>
      <c r="D301" s="70">
        <f t="shared" si="123"/>
        <v>80</v>
      </c>
      <c r="E301" s="74">
        <f t="shared" si="125"/>
        <v>0.921551298345526</v>
      </c>
      <c r="F301" s="74">
        <f t="shared" si="126"/>
        <v>1.3962634015954636</v>
      </c>
      <c r="G301" s="74">
        <f t="shared" si="127"/>
        <v>114.89571465909741</v>
      </c>
      <c r="H301" s="74">
        <f t="shared" si="128"/>
        <v>20.442283082501756</v>
      </c>
      <c r="I301" s="74">
        <f t="shared" si="135"/>
        <v>26.691496704743898</v>
      </c>
      <c r="J301" s="74">
        <f t="shared" si="136"/>
        <v>20.442283082501756</v>
      </c>
      <c r="K301" s="74">
        <f t="shared" si="137"/>
        <v>34.21941447956511</v>
      </c>
      <c r="L301" s="74">
        <f t="shared" si="129"/>
        <v>1.9842660051430312</v>
      </c>
      <c r="M301" s="74">
        <f t="shared" si="138"/>
        <v>3.483033492591896</v>
      </c>
      <c r="N301" s="74">
        <f t="shared" si="130"/>
        <v>0.1136516527724497</v>
      </c>
      <c r="O301" s="74">
        <f t="shared" si="131"/>
        <v>54.902821850658874</v>
      </c>
      <c r="P301" s="74">
        <f t="shared" si="132"/>
        <v>0.3393892340483847</v>
      </c>
    </row>
    <row r="302" spans="2:16" ht="13.5">
      <c r="B302" s="74">
        <f t="shared" si="122"/>
        <v>41.80890682521373</v>
      </c>
      <c r="C302" s="70">
        <f t="shared" si="124"/>
        <v>52.801</v>
      </c>
      <c r="D302" s="70">
        <f t="shared" si="123"/>
        <v>81</v>
      </c>
      <c r="E302" s="74">
        <f t="shared" si="125"/>
        <v>0.921551298345526</v>
      </c>
      <c r="F302" s="74">
        <f t="shared" si="126"/>
        <v>1.413716694115407</v>
      </c>
      <c r="G302" s="74">
        <f t="shared" si="127"/>
        <v>114.89571465909741</v>
      </c>
      <c r="H302" s="74">
        <f t="shared" si="128"/>
        <v>18.415070572518374</v>
      </c>
      <c r="I302" s="74">
        <f t="shared" si="135"/>
        <v>23.97544465412669</v>
      </c>
      <c r="J302" s="74">
        <f t="shared" si="136"/>
        <v>18.415070572518374</v>
      </c>
      <c r="K302" s="74">
        <f t="shared" si="137"/>
        <v>33.15407614426935</v>
      </c>
      <c r="L302" s="74">
        <f t="shared" si="129"/>
        <v>2.0017192976629743</v>
      </c>
      <c r="M302" s="74">
        <f t="shared" si="138"/>
        <v>3.510449285294637</v>
      </c>
      <c r="N302" s="74">
        <f t="shared" si="130"/>
        <v>0.053295622763378</v>
      </c>
      <c r="O302" s="74">
        <f t="shared" si="131"/>
        <v>53.7980107968799</v>
      </c>
      <c r="P302" s="74">
        <f t="shared" si="132"/>
        <v>0.3537869131169257</v>
      </c>
    </row>
    <row r="303" spans="2:16" ht="13.5">
      <c r="B303" s="74">
        <f t="shared" si="122"/>
        <v>43.09077038744133</v>
      </c>
      <c r="C303" s="70">
        <f t="shared" si="124"/>
        <v>52.801</v>
      </c>
      <c r="D303" s="70">
        <f t="shared" si="123"/>
        <v>82</v>
      </c>
      <c r="E303" s="74">
        <f t="shared" si="125"/>
        <v>0.921551298345526</v>
      </c>
      <c r="F303" s="74">
        <f t="shared" si="126"/>
        <v>1.43116998663535</v>
      </c>
      <c r="G303" s="74">
        <f t="shared" si="127"/>
        <v>114.89571465909741</v>
      </c>
      <c r="H303" s="74">
        <f t="shared" si="128"/>
        <v>21.274368853074545</v>
      </c>
      <c r="I303" s="74">
        <f t="shared" si="135"/>
        <v>21.274368853074545</v>
      </c>
      <c r="J303" s="74">
        <f t="shared" si="136"/>
        <v>16.355059041525283</v>
      </c>
      <c r="K303" s="74">
        <f t="shared" si="137"/>
        <v>32.09461206045451</v>
      </c>
      <c r="L303" s="74">
        <f t="shared" si="129"/>
        <v>2.0191725901829174</v>
      </c>
      <c r="M303" s="74">
        <f t="shared" si="138"/>
        <v>3.539386779747792</v>
      </c>
      <c r="N303" s="74">
        <f t="shared" si="130"/>
        <v>-0.008036929779261789</v>
      </c>
      <c r="O303" s="74">
        <f t="shared" si="131"/>
        <v>54.68297252317315</v>
      </c>
      <c r="P303" s="74">
        <f t="shared" si="132"/>
        <v>0.280019146470923</v>
      </c>
    </row>
    <row r="304" spans="2:16" ht="13.5">
      <c r="B304" s="74">
        <f t="shared" si="122"/>
        <v>42.61416850760808</v>
      </c>
      <c r="C304" s="70">
        <f t="shared" si="124"/>
        <v>52.801</v>
      </c>
      <c r="D304" s="70">
        <f t="shared" si="123"/>
        <v>83</v>
      </c>
      <c r="E304" s="74">
        <f t="shared" si="125"/>
        <v>0.921551298345526</v>
      </c>
      <c r="F304" s="74">
        <f t="shared" si="126"/>
        <v>1.4486232791552935</v>
      </c>
      <c r="G304" s="74">
        <f t="shared" si="127"/>
        <v>114.89571465909741</v>
      </c>
      <c r="H304" s="74">
        <f t="shared" si="128"/>
        <v>18.586512906677186</v>
      </c>
      <c r="I304" s="74">
        <f t="shared" si="135"/>
        <v>18.586512906677186</v>
      </c>
      <c r="J304" s="74">
        <f t="shared" si="136"/>
        <v>14.26015943222883</v>
      </c>
      <c r="K304" s="74">
        <f t="shared" si="137"/>
        <v>31.040333303609955</v>
      </c>
      <c r="L304" s="74">
        <f t="shared" si="129"/>
        <v>2.036625882702861</v>
      </c>
      <c r="M304" s="74">
        <f t="shared" si="138"/>
        <v>3.569901782381449</v>
      </c>
      <c r="N304" s="74">
        <f t="shared" si="130"/>
        <v>-0.0704082021850964</v>
      </c>
      <c r="O304" s="74">
        <f t="shared" si="131"/>
        <v>53.35871993105415</v>
      </c>
      <c r="P304" s="74">
        <f t="shared" si="132"/>
        <v>0.30733903748735614</v>
      </c>
    </row>
    <row r="305" spans="2:16" ht="13.5">
      <c r="B305" s="74">
        <f t="shared" si="122"/>
        <v>42.12298573216295</v>
      </c>
      <c r="C305" s="70">
        <f t="shared" si="124"/>
        <v>52.801</v>
      </c>
      <c r="D305" s="70">
        <f t="shared" si="123"/>
        <v>84</v>
      </c>
      <c r="E305" s="74">
        <f t="shared" si="125"/>
        <v>0.921551298345526</v>
      </c>
      <c r="F305" s="74">
        <f t="shared" si="126"/>
        <v>1.4660765716752369</v>
      </c>
      <c r="G305" s="74">
        <f t="shared" si="127"/>
        <v>114.89571465909741</v>
      </c>
      <c r="H305" s="74">
        <f t="shared" si="128"/>
        <v>15.910153613341771</v>
      </c>
      <c r="I305" s="74">
        <f t="shared" si="135"/>
        <v>15.910153613341771</v>
      </c>
      <c r="J305" s="74">
        <f t="shared" si="136"/>
        <v>12.128168042573405</v>
      </c>
      <c r="K305" s="74">
        <f t="shared" si="137"/>
        <v>29.990563968899536</v>
      </c>
      <c r="L305" s="74">
        <f t="shared" si="129"/>
        <v>2.0540791752228045</v>
      </c>
      <c r="M305" s="74">
        <f t="shared" si="138"/>
        <v>3.602054296824678</v>
      </c>
      <c r="N305" s="74">
        <f t="shared" si="130"/>
        <v>-0.1338838050927462</v>
      </c>
      <c r="O305" s="74">
        <f t="shared" si="131"/>
        <v>52.06687378020716</v>
      </c>
      <c r="P305" s="74">
        <f t="shared" si="132"/>
        <v>0.3356369023987774</v>
      </c>
    </row>
    <row r="306" spans="2:16" ht="13.5">
      <c r="B306" s="74">
        <f t="shared" si="122"/>
        <v>41.617220830630416</v>
      </c>
      <c r="C306" s="70">
        <f t="shared" si="124"/>
        <v>52.801</v>
      </c>
      <c r="D306" s="70">
        <f t="shared" si="123"/>
        <v>85</v>
      </c>
      <c r="E306" s="74">
        <f t="shared" si="125"/>
        <v>0.921551298345526</v>
      </c>
      <c r="F306" s="74">
        <f t="shared" si="126"/>
        <v>1.4835298641951802</v>
      </c>
      <c r="G306" s="74">
        <f t="shared" si="127"/>
        <v>114.89571465909741</v>
      </c>
      <c r="H306" s="74">
        <f t="shared" si="128"/>
        <v>13.24359644123674</v>
      </c>
      <c r="I306" s="74">
        <f t="shared" si="135"/>
        <v>13.24359644123674</v>
      </c>
      <c r="J306" s="74">
        <f t="shared" si="136"/>
        <v>9.956756386451493</v>
      </c>
      <c r="K306" s="74">
        <f t="shared" si="137"/>
        <v>28.944639396851734</v>
      </c>
      <c r="L306" s="74">
        <f t="shared" si="129"/>
        <v>2.0715324677427476</v>
      </c>
      <c r="M306" s="74">
        <f t="shared" si="138"/>
        <v>3.6359088404790922</v>
      </c>
      <c r="N306" s="74">
        <f t="shared" si="130"/>
        <v>-0.1985330643260647</v>
      </c>
      <c r="O306" s="74">
        <f t="shared" si="131"/>
        <v>50.80524564490755</v>
      </c>
      <c r="P306" s="74">
        <f t="shared" si="132"/>
        <v>0.3648791662004419</v>
      </c>
    </row>
    <row r="307" spans="2:16" ht="13.5">
      <c r="B307" s="74">
        <f t="shared" si="122"/>
        <v>41.096831636945964</v>
      </c>
      <c r="C307" s="70">
        <f t="shared" si="124"/>
        <v>52.801</v>
      </c>
      <c r="D307" s="70">
        <f t="shared" si="123"/>
        <v>86</v>
      </c>
      <c r="E307" s="74">
        <f t="shared" si="125"/>
        <v>0.921551298345526</v>
      </c>
      <c r="F307" s="74">
        <f t="shared" si="126"/>
        <v>1.5009831567151233</v>
      </c>
      <c r="G307" s="74">
        <f t="shared" si="127"/>
        <v>114.89571465909741</v>
      </c>
      <c r="H307" s="74">
        <f t="shared" si="128"/>
        <v>10.585171157948913</v>
      </c>
      <c r="I307" s="74">
        <f t="shared" si="135"/>
        <v>10.585171157948913</v>
      </c>
      <c r="J307" s="74">
        <f t="shared" si="136"/>
        <v>7.743460086500027</v>
      </c>
      <c r="K307" s="74">
        <f t="shared" si="137"/>
        <v>27.90190445914594</v>
      </c>
      <c r="L307" s="74">
        <f t="shared" si="129"/>
        <v>2.0889857602626907</v>
      </c>
      <c r="M307" s="74">
        <f t="shared" si="138"/>
        <v>3.6715347939252476</v>
      </c>
      <c r="N307" s="74">
        <f t="shared" si="130"/>
        <v>-0.26442935158799213</v>
      </c>
      <c r="O307" s="74">
        <f t="shared" si="131"/>
        <v>49.57173594712736</v>
      </c>
      <c r="P307" s="74">
        <f t="shared" si="132"/>
        <v>0.39502563025126375</v>
      </c>
    </row>
    <row r="308" spans="2:16" ht="13.5">
      <c r="B308" s="74">
        <f t="shared" si="122"/>
        <v>40.56173602089013</v>
      </c>
      <c r="C308" s="70">
        <f t="shared" si="124"/>
        <v>52.801</v>
      </c>
      <c r="D308" s="70">
        <f t="shared" si="123"/>
        <v>87</v>
      </c>
      <c r="E308" s="74">
        <f t="shared" si="125"/>
        <v>0.921551298345526</v>
      </c>
      <c r="F308" s="74">
        <f t="shared" si="126"/>
        <v>1.5184364492350666</v>
      </c>
      <c r="G308" s="74">
        <f t="shared" si="127"/>
        <v>114.89571465909741</v>
      </c>
      <c r="H308" s="74">
        <f t="shared" si="128"/>
        <v>7.933227588970383</v>
      </c>
      <c r="I308" s="74">
        <f t="shared" si="135"/>
        <v>7.933227588970383</v>
      </c>
      <c r="J308" s="74">
        <f t="shared" si="136"/>
        <v>5.4856666823648865</v>
      </c>
      <c r="K308" s="74">
        <f t="shared" si="137"/>
        <v>26.861711894930572</v>
      </c>
      <c r="L308" s="74">
        <f t="shared" si="129"/>
        <v>2.106439052782634</v>
      </c>
      <c r="M308" s="74">
        <f t="shared" si="138"/>
        <v>3.7090067869585464</v>
      </c>
      <c r="N308" s="74">
        <f t="shared" si="130"/>
        <v>-0.3316504474440855</v>
      </c>
      <c r="O308" s="74">
        <f t="shared" si="131"/>
        <v>48.36432512501102</v>
      </c>
      <c r="P308" s="74">
        <f t="shared" si="132"/>
        <v>0.4260290548459386</v>
      </c>
    </row>
    <row r="309" spans="2:16" ht="13.5">
      <c r="B309" s="74">
        <f t="shared" si="122"/>
        <v>40.011812620101814</v>
      </c>
      <c r="C309" s="70">
        <f t="shared" si="124"/>
        <v>52.801</v>
      </c>
      <c r="D309" s="70">
        <f t="shared" si="123"/>
        <v>88</v>
      </c>
      <c r="E309" s="74">
        <f t="shared" si="125"/>
        <v>0.921551298345526</v>
      </c>
      <c r="F309" s="74">
        <f t="shared" si="126"/>
        <v>1.53588974175501</v>
      </c>
      <c r="G309" s="74">
        <f t="shared" si="127"/>
        <v>114.89571465909741</v>
      </c>
      <c r="H309" s="74">
        <f t="shared" si="128"/>
        <v>5.286131481813329</v>
      </c>
      <c r="I309" s="74">
        <f t="shared" si="135"/>
        <v>5.286131481813329</v>
      </c>
      <c r="J309" s="74">
        <f t="shared" si="136"/>
        <v>3.180602221976846</v>
      </c>
      <c r="K309" s="74">
        <f t="shared" si="137"/>
        <v>25.823420688572526</v>
      </c>
      <c r="L309" s="74">
        <f t="shared" si="129"/>
        <v>2.1238923453025773</v>
      </c>
      <c r="M309" s="74">
        <f t="shared" si="138"/>
        <v>3.7484051255774977</v>
      </c>
      <c r="N309" s="74">
        <f t="shared" si="130"/>
        <v>-0.4002789405393484</v>
      </c>
      <c r="O309" s="74">
        <f t="shared" si="131"/>
        <v>47.18106532099504</v>
      </c>
      <c r="P309" s="74">
        <f t="shared" si="132"/>
        <v>0.45783489342006084</v>
      </c>
    </row>
    <row r="310" spans="2:16" ht="13.5">
      <c r="B310" s="74">
        <f t="shared" si="122"/>
        <v>39.44690134371707</v>
      </c>
      <c r="C310" s="70">
        <f t="shared" si="124"/>
        <v>52.801</v>
      </c>
      <c r="D310" s="70">
        <f t="shared" si="123"/>
        <v>89</v>
      </c>
      <c r="E310" s="74">
        <f t="shared" si="125"/>
        <v>0.921551298345526</v>
      </c>
      <c r="F310" s="74">
        <f t="shared" si="126"/>
        <v>1.5533430342749535</v>
      </c>
      <c r="G310" s="74">
        <f t="shared" si="127"/>
        <v>114.89571465909741</v>
      </c>
      <c r="H310" s="74">
        <f t="shared" si="128"/>
        <v>2.642260453508916</v>
      </c>
      <c r="I310" s="74">
        <f t="shared" si="135"/>
        <v>2.642260453508916</v>
      </c>
      <c r="J310" s="74">
        <f t="shared" si="136"/>
        <v>0.8253164850416557</v>
      </c>
      <c r="K310" s="74">
        <f t="shared" si="137"/>
        <v>24.78639448011291</v>
      </c>
      <c r="L310" s="74">
        <f t="shared" si="129"/>
        <v>2.141345637822521</v>
      </c>
      <c r="M310" s="74">
        <f t="shared" si="138"/>
        <v>3.7898162648555984</v>
      </c>
      <c r="N310" s="74">
        <f t="shared" si="130"/>
        <v>-0.47040266753803595</v>
      </c>
      <c r="O310" s="74">
        <f t="shared" si="131"/>
        <v>46.02007252423863</v>
      </c>
      <c r="P310" s="74">
        <f t="shared" si="132"/>
        <v>0.49038120601547985</v>
      </c>
    </row>
    <row r="311" spans="2:16" ht="13.5">
      <c r="B311" s="74">
        <f t="shared" si="122"/>
        <v>38.86680365634567</v>
      </c>
      <c r="C311" s="70">
        <f t="shared" si="124"/>
        <v>52.801</v>
      </c>
      <c r="D311" s="70">
        <f t="shared" si="123"/>
        <v>90</v>
      </c>
      <c r="E311" s="74">
        <f t="shared" si="125"/>
        <v>0.921551298345526</v>
      </c>
      <c r="F311" s="74">
        <f t="shared" si="126"/>
        <v>1.5707963267948966</v>
      </c>
      <c r="G311" s="74">
        <f t="shared" si="127"/>
        <v>114.89571465909741</v>
      </c>
      <c r="H311" s="74">
        <f t="shared" si="128"/>
        <v>9.272842368089618E-15</v>
      </c>
      <c r="I311" s="74">
        <f t="shared" si="135"/>
        <v>9.272842368089618E-15</v>
      </c>
      <c r="J311" s="74">
        <f t="shared" si="136"/>
        <v>-1.5833333333333073</v>
      </c>
      <c r="K311" s="74">
        <f t="shared" si="137"/>
        <v>23.750000000000007</v>
      </c>
      <c r="L311" s="74">
        <f t="shared" si="129"/>
        <v>2.158798930342464</v>
      </c>
      <c r="M311" s="74">
        <f t="shared" si="138"/>
        <v>3.8333333333333317</v>
      </c>
      <c r="N311" s="74">
        <f t="shared" si="130"/>
        <v>-0.5421151989096857</v>
      </c>
      <c r="O311" s="74">
        <f t="shared" si="131"/>
        <v>44.879519107063</v>
      </c>
      <c r="P311" s="74">
        <f t="shared" si="132"/>
        <v>0.5235987755982985</v>
      </c>
    </row>
    <row r="312" spans="2:16" ht="13.5">
      <c r="B312" s="74">
        <f t="shared" si="122"/>
        <v>41.95361472580112</v>
      </c>
      <c r="C312" s="70">
        <f>C311+J214</f>
        <v>55.201</v>
      </c>
      <c r="D312" s="70">
        <f t="shared" si="123"/>
        <v>60</v>
      </c>
      <c r="E312" s="74">
        <f t="shared" si="125"/>
        <v>0.9634392003933898</v>
      </c>
      <c r="F312" s="74">
        <f t="shared" si="126"/>
        <v>1.0471975511965976</v>
      </c>
      <c r="G312" s="74">
        <f t="shared" si="127"/>
        <v>105.20444756427877</v>
      </c>
      <c r="H312" s="74">
        <f t="shared" si="128"/>
        <v>56.61327536344993</v>
      </c>
      <c r="I312" s="74">
        <f t="shared" si="135"/>
        <v>87.39639699857963</v>
      </c>
      <c r="J312" s="74">
        <f t="shared" si="136"/>
        <v>56.61327536344993</v>
      </c>
      <c r="K312" s="74">
        <f t="shared" si="137"/>
        <v>58.03017223313404</v>
      </c>
      <c r="L312" s="74">
        <f t="shared" si="129"/>
        <v>1.6352001547441652</v>
      </c>
      <c r="M312" s="74">
        <f t="shared" si="138"/>
        <v>3.196152422706631</v>
      </c>
      <c r="N312" s="74">
        <f t="shared" si="130"/>
        <v>1.1905676074715958</v>
      </c>
      <c r="O312" s="74">
        <f t="shared" si="131"/>
        <v>83.90722945160225</v>
      </c>
      <c r="P312" s="74">
        <f t="shared" si="132"/>
        <v>0.3654391000340484</v>
      </c>
    </row>
    <row r="313" spans="2:16" ht="13.5">
      <c r="B313" s="74">
        <f t="shared" si="122"/>
        <v>42.25641411851236</v>
      </c>
      <c r="C313" s="70">
        <f>C312</f>
        <v>55.201</v>
      </c>
      <c r="D313" s="70">
        <f t="shared" si="123"/>
        <v>61</v>
      </c>
      <c r="E313" s="74">
        <f t="shared" si="125"/>
        <v>0.9634392003933898</v>
      </c>
      <c r="F313" s="74">
        <f t="shared" si="126"/>
        <v>1.064650843716541</v>
      </c>
      <c r="G313" s="74">
        <f t="shared" si="127"/>
        <v>105.20444756427877</v>
      </c>
      <c r="H313" s="74">
        <f t="shared" si="128"/>
        <v>54.91741842603781</v>
      </c>
      <c r="I313" s="74">
        <f t="shared" si="135"/>
        <v>83.90853266366291</v>
      </c>
      <c r="J313" s="74">
        <f t="shared" si="136"/>
        <v>54.91741842603781</v>
      </c>
      <c r="K313" s="74">
        <f t="shared" si="137"/>
        <v>56.662099930008154</v>
      </c>
      <c r="L313" s="74">
        <f t="shared" si="129"/>
        <v>1.6526534472641083</v>
      </c>
      <c r="M313" s="74">
        <f t="shared" si="138"/>
        <v>3.200241894286732</v>
      </c>
      <c r="N313" s="74">
        <f t="shared" si="130"/>
        <v>1.1400769994561701</v>
      </c>
      <c r="O313" s="74">
        <f t="shared" si="131"/>
        <v>82.04522379416704</v>
      </c>
      <c r="P313" s="74">
        <f t="shared" si="132"/>
        <v>0.34967146467724675</v>
      </c>
    </row>
    <row r="314" spans="2:16" ht="13.5">
      <c r="B314" s="74">
        <f t="shared" si="122"/>
        <v>42.52521154100357</v>
      </c>
      <c r="C314" s="70">
        <f aca="true" t="shared" si="139" ref="C314:C337">C313</f>
        <v>55.201</v>
      </c>
      <c r="D314" s="70">
        <f>D283</f>
        <v>62</v>
      </c>
      <c r="E314" s="74">
        <f t="shared" si="125"/>
        <v>0.9634392003933898</v>
      </c>
      <c r="F314" s="74">
        <f t="shared" si="126"/>
        <v>1.0821041362364843</v>
      </c>
      <c r="G314" s="74">
        <f t="shared" si="127"/>
        <v>105.20444756427877</v>
      </c>
      <c r="H314" s="74">
        <f t="shared" si="128"/>
        <v>53.21669751699319</v>
      </c>
      <c r="I314" s="74">
        <f t="shared" si="135"/>
        <v>80.48751521775635</v>
      </c>
      <c r="J314" s="74">
        <f t="shared" si="136"/>
        <v>53.21669751699319</v>
      </c>
      <c r="K314" s="74">
        <f t="shared" si="137"/>
        <v>55.3202475049003</v>
      </c>
      <c r="L314" s="74">
        <f t="shared" si="129"/>
        <v>1.6701067397840519</v>
      </c>
      <c r="M314" s="74">
        <f t="shared" si="138"/>
        <v>3.205319466443784</v>
      </c>
      <c r="N314" s="74">
        <f t="shared" si="130"/>
        <v>1.0894415768165406</v>
      </c>
      <c r="O314" s="74">
        <f t="shared" si="131"/>
        <v>80.24847257164298</v>
      </c>
      <c r="P314" s="74">
        <f t="shared" si="132"/>
        <v>0.33571172976626423</v>
      </c>
    </row>
    <row r="315" spans="2:16" ht="13.5">
      <c r="B315" s="74">
        <f t="shared" si="122"/>
        <v>42.761190568835715</v>
      </c>
      <c r="C315" s="70">
        <f t="shared" si="139"/>
        <v>55.201</v>
      </c>
      <c r="D315" s="70">
        <f t="shared" si="123"/>
        <v>63</v>
      </c>
      <c r="E315" s="74">
        <f t="shared" si="125"/>
        <v>0.9634392003933898</v>
      </c>
      <c r="F315" s="74">
        <f t="shared" si="126"/>
        <v>1.0995574287564276</v>
      </c>
      <c r="G315" s="74">
        <f t="shared" si="127"/>
        <v>105.20444756427877</v>
      </c>
      <c r="H315" s="74">
        <f t="shared" si="128"/>
        <v>51.51005054407396</v>
      </c>
      <c r="I315" s="74">
        <f t="shared" si="135"/>
        <v>77.12941491721917</v>
      </c>
      <c r="J315" s="74">
        <f t="shared" si="136"/>
        <v>51.51005054407396</v>
      </c>
      <c r="K315" s="74">
        <f t="shared" si="137"/>
        <v>54.00307356373172</v>
      </c>
      <c r="L315" s="74">
        <f t="shared" si="129"/>
        <v>1.687560032303995</v>
      </c>
      <c r="M315" s="74">
        <f t="shared" si="138"/>
        <v>3.2113929525108333</v>
      </c>
      <c r="N315" s="74">
        <f t="shared" si="130"/>
        <v>1.0386297179684278</v>
      </c>
      <c r="O315" s="74">
        <f t="shared" si="131"/>
        <v>78.51290087508306</v>
      </c>
      <c r="P315" s="74">
        <f t="shared" si="132"/>
        <v>0.3234896869652076</v>
      </c>
    </row>
    <row r="316" spans="2:16" ht="13.5">
      <c r="B316" s="74">
        <f t="shared" si="122"/>
        <v>42.96541021852247</v>
      </c>
      <c r="C316" s="70">
        <f t="shared" si="139"/>
        <v>55.201</v>
      </c>
      <c r="D316" s="70">
        <f t="shared" si="123"/>
        <v>64</v>
      </c>
      <c r="E316" s="74">
        <f t="shared" si="125"/>
        <v>0.9634392003933898</v>
      </c>
      <c r="F316" s="74">
        <f t="shared" si="126"/>
        <v>1.117010721276371</v>
      </c>
      <c r="G316" s="74">
        <f t="shared" si="127"/>
        <v>105.20444756427877</v>
      </c>
      <c r="H316" s="74">
        <f t="shared" si="128"/>
        <v>49.7964007486329</v>
      </c>
      <c r="I316" s="74">
        <f aca="true" t="shared" si="140" ref="I316:I369">(0.5*$D$3*$D$9+$D$6)*$D$9/TAN(F316)</f>
        <v>73.83052059415728</v>
      </c>
      <c r="J316" s="74">
        <f t="shared" si="136"/>
        <v>49.7964007486329</v>
      </c>
      <c r="K316" s="74">
        <f aca="true" t="shared" si="141" ref="K316:K369">0.5*$D$3*$D$8^2*(1/TAN(F316)-1/TAN($D$16))+$G$19</f>
        <v>52.70912244609802</v>
      </c>
      <c r="L316" s="74">
        <f t="shared" si="129"/>
        <v>1.7050133248239385</v>
      </c>
      <c r="M316" s="74">
        <f t="shared" si="138"/>
        <v>3.21847173736185</v>
      </c>
      <c r="N316" s="74">
        <f t="shared" si="130"/>
        <v>0.9876093646658881</v>
      </c>
      <c r="O316" s="74">
        <f t="shared" si="131"/>
        <v>76.83468433137962</v>
      </c>
      <c r="P316" s="74">
        <f t="shared" si="132"/>
        <v>0.31294053287810397</v>
      </c>
    </row>
    <row r="317" spans="2:16" ht="13.5">
      <c r="B317" s="74">
        <f t="shared" si="122"/>
        <v>43.138813170610476</v>
      </c>
      <c r="C317" s="70">
        <f t="shared" si="139"/>
        <v>55.201</v>
      </c>
      <c r="D317" s="70">
        <f t="shared" si="123"/>
        <v>65</v>
      </c>
      <c r="E317" s="74">
        <f t="shared" si="125"/>
        <v>0.9634392003933898</v>
      </c>
      <c r="F317" s="74">
        <f t="shared" si="126"/>
        <v>1.1344640137963142</v>
      </c>
      <c r="G317" s="74">
        <f t="shared" si="127"/>
        <v>105.20444756427877</v>
      </c>
      <c r="H317" s="74">
        <f t="shared" si="128"/>
        <v>48.07465394252364</v>
      </c>
      <c r="I317" s="74">
        <f t="shared" si="140"/>
        <v>70.58732175321292</v>
      </c>
      <c r="J317" s="74">
        <f t="shared" si="136"/>
        <v>48.07465394252364</v>
      </c>
      <c r="K317" s="74">
        <f t="shared" si="141"/>
        <v>51.43701720295304</v>
      </c>
      <c r="L317" s="74">
        <f t="shared" si="129"/>
        <v>1.7224666173438816</v>
      </c>
      <c r="M317" s="74">
        <f t="shared" si="138"/>
        <v>3.2265668130425462</v>
      </c>
      <c r="N317" s="74">
        <f t="shared" si="130"/>
        <v>0.9363479397359457</v>
      </c>
      <c r="O317" s="74">
        <f t="shared" si="131"/>
        <v>75.21022558919805</v>
      </c>
      <c r="P317" s="74">
        <f t="shared" si="132"/>
        <v>0.3040053878564302</v>
      </c>
    </row>
    <row r="318" spans="2:16" ht="13.5">
      <c r="B318" s="74">
        <f t="shared" si="122"/>
        <v>43.28223297972924</v>
      </c>
      <c r="C318" s="70">
        <f t="shared" si="139"/>
        <v>55.201</v>
      </c>
      <c r="D318" s="70">
        <f t="shared" si="123"/>
        <v>66</v>
      </c>
      <c r="E318" s="74">
        <f t="shared" si="125"/>
        <v>0.9634392003933898</v>
      </c>
      <c r="F318" s="74">
        <f t="shared" si="126"/>
        <v>1.1519173063162575</v>
      </c>
      <c r="G318" s="74">
        <f t="shared" si="127"/>
        <v>105.20444756427877</v>
      </c>
      <c r="H318" s="74">
        <f t="shared" si="128"/>
        <v>46.34369565210348</v>
      </c>
      <c r="I318" s="74">
        <f t="shared" si="140"/>
        <v>67.39649223857965</v>
      </c>
      <c r="J318" s="74">
        <f t="shared" si="136"/>
        <v>46.34369565210348</v>
      </c>
      <c r="K318" s="74">
        <f t="shared" si="141"/>
        <v>50.18545319019432</v>
      </c>
      <c r="L318" s="74">
        <f t="shared" si="129"/>
        <v>1.7399199098638252</v>
      </c>
      <c r="M318" s="74">
        <f t="shared" si="138"/>
        <v>3.235690820800044</v>
      </c>
      <c r="N318" s="74">
        <f t="shared" si="130"/>
        <v>0.8848122620472225</v>
      </c>
      <c r="O318" s="74">
        <f t="shared" si="131"/>
        <v>73.63613294297598</v>
      </c>
      <c r="P318" s="74">
        <f t="shared" si="132"/>
        <v>0.29663161148319805</v>
      </c>
    </row>
    <row r="319" spans="2:16" ht="13.5">
      <c r="B319" s="74">
        <f t="shared" si="122"/>
        <v>43.396400370218316</v>
      </c>
      <c r="C319" s="70">
        <f t="shared" si="139"/>
        <v>55.201</v>
      </c>
      <c r="D319" s="70">
        <f t="shared" si="123"/>
        <v>67</v>
      </c>
      <c r="E319" s="74">
        <f t="shared" si="125"/>
        <v>0.9634392003933898</v>
      </c>
      <c r="F319" s="74">
        <f t="shared" si="126"/>
        <v>1.1693705988362006</v>
      </c>
      <c r="G319" s="74">
        <f t="shared" si="127"/>
        <v>105.20444756427877</v>
      </c>
      <c r="H319" s="74">
        <f t="shared" si="128"/>
        <v>44.602388153158174</v>
      </c>
      <c r="I319" s="74">
        <f t="shared" si="140"/>
        <v>64.25487530372895</v>
      </c>
      <c r="J319" s="74">
        <f t="shared" si="136"/>
        <v>44.602388153158174</v>
      </c>
      <c r="K319" s="74">
        <f t="shared" si="141"/>
        <v>48.95319221244529</v>
      </c>
      <c r="L319" s="74">
        <f t="shared" si="129"/>
        <v>1.7573732023837683</v>
      </c>
      <c r="M319" s="74">
        <f t="shared" si="138"/>
        <v>3.2458580998131934</v>
      </c>
      <c r="N319" s="74">
        <f t="shared" si="130"/>
        <v>0.8329684582310031</v>
      </c>
      <c r="O319" s="74">
        <f t="shared" si="131"/>
        <v>72.10920083537737</v>
      </c>
      <c r="P319" s="74">
        <f t="shared" si="132"/>
        <v>0.29077296603193103</v>
      </c>
    </row>
    <row r="320" spans="2:16" ht="13.5">
      <c r="B320" s="74">
        <f t="shared" si="122"/>
        <v>43.481948701642295</v>
      </c>
      <c r="C320" s="70">
        <f t="shared" si="139"/>
        <v>55.201</v>
      </c>
      <c r="D320" s="70">
        <f>D289</f>
        <v>68</v>
      </c>
      <c r="E320" s="74">
        <f t="shared" si="125"/>
        <v>0.9634392003933898</v>
      </c>
      <c r="F320" s="74">
        <f t="shared" si="126"/>
        <v>1.1868238913561442</v>
      </c>
      <c r="G320" s="74">
        <f t="shared" si="127"/>
        <v>105.20444756427877</v>
      </c>
      <c r="H320" s="74">
        <f t="shared" si="128"/>
        <v>42.84956737955771</v>
      </c>
      <c r="I320" s="74">
        <f t="shared" si="140"/>
        <v>61.15946993579685</v>
      </c>
      <c r="J320" s="74">
        <f t="shared" si="136"/>
        <v>42.84956737955771</v>
      </c>
      <c r="K320" s="74">
        <f t="shared" si="141"/>
        <v>47.739057158962424</v>
      </c>
      <c r="L320" s="74">
        <f t="shared" si="129"/>
        <v>1.7748264949037118</v>
      </c>
      <c r="M320" s="74">
        <f t="shared" si="138"/>
        <v>3.2570847429771757</v>
      </c>
      <c r="N320" s="74">
        <f t="shared" si="130"/>
        <v>0.7807818706428962</v>
      </c>
      <c r="O320" s="74">
        <f t="shared" si="131"/>
        <v>70.6263920097359</v>
      </c>
      <c r="P320" s="74">
        <f t="shared" si="132"/>
        <v>0.2863896687098099</v>
      </c>
    </row>
    <row r="321" spans="2:16" ht="13.5">
      <c r="B321" s="74">
        <f t="shared" si="122"/>
        <v>43.539418676020254</v>
      </c>
      <c r="C321" s="70">
        <f t="shared" si="139"/>
        <v>55.201</v>
      </c>
      <c r="D321" s="70">
        <f t="shared" si="123"/>
        <v>69</v>
      </c>
      <c r="E321" s="74">
        <f t="shared" si="125"/>
        <v>0.9634392003933898</v>
      </c>
      <c r="F321" s="74">
        <f t="shared" si="126"/>
        <v>1.2042771838760873</v>
      </c>
      <c r="G321" s="74">
        <f t="shared" si="127"/>
        <v>105.20444756427877</v>
      </c>
      <c r="H321" s="74">
        <f t="shared" si="128"/>
        <v>41.08403968726031</v>
      </c>
      <c r="I321" s="74">
        <f t="shared" si="140"/>
        <v>58.107418303486085</v>
      </c>
      <c r="J321" s="74">
        <f t="shared" si="136"/>
        <v>41.08403968726031</v>
      </c>
      <c r="K321" s="74">
        <f t="shared" si="141"/>
        <v>46.54192708022782</v>
      </c>
      <c r="L321" s="74">
        <f t="shared" si="129"/>
        <v>1.792279787423655</v>
      </c>
      <c r="M321" s="74">
        <f t="shared" si="138"/>
        <v>3.2693886601519666</v>
      </c>
      <c r="N321" s="74">
        <f t="shared" si="130"/>
        <v>0.7282169610177962</v>
      </c>
      <c r="O321" s="74">
        <f t="shared" si="131"/>
        <v>69.18482111057524</v>
      </c>
      <c r="P321" s="74">
        <f t="shared" si="132"/>
        <v>0.2834483643148923</v>
      </c>
    </row>
    <row r="322" spans="2:16" ht="13.5">
      <c r="B322" s="74">
        <f t="shared" si="122"/>
        <v>43.56926234762374</v>
      </c>
      <c r="C322" s="70">
        <f t="shared" si="139"/>
        <v>55.201</v>
      </c>
      <c r="D322" s="70">
        <f t="shared" si="123"/>
        <v>70</v>
      </c>
      <c r="E322" s="74">
        <f t="shared" si="125"/>
        <v>0.9634392003933898</v>
      </c>
      <c r="F322" s="74">
        <f t="shared" si="126"/>
        <v>1.2217304763960306</v>
      </c>
      <c r="G322" s="74">
        <f t="shared" si="127"/>
        <v>105.20444756427877</v>
      </c>
      <c r="H322" s="74">
        <f t="shared" si="128"/>
        <v>39.30457845389725</v>
      </c>
      <c r="I322" s="74">
        <f t="shared" si="140"/>
        <v>55.09599421204639</v>
      </c>
      <c r="J322" s="74">
        <f t="shared" si="136"/>
        <v>39.30457845389725</v>
      </c>
      <c r="K322" s="74">
        <f t="shared" si="141"/>
        <v>45.360732659555765</v>
      </c>
      <c r="L322" s="74">
        <f t="shared" si="129"/>
        <v>1.809733079943598</v>
      </c>
      <c r="M322" s="74">
        <f t="shared" si="138"/>
        <v>3.2827896493451227</v>
      </c>
      <c r="N322" s="74">
        <f t="shared" si="130"/>
        <v>0.6752372092296027</v>
      </c>
      <c r="O322" s="74">
        <f t="shared" si="131"/>
        <v>67.78173955293049</v>
      </c>
      <c r="P322" s="74">
        <f t="shared" si="132"/>
        <v>0.2819220420871087</v>
      </c>
    </row>
    <row r="323" spans="2:16" ht="13.5">
      <c r="B323" s="74">
        <f t="shared" si="122"/>
        <v>43.571846486474136</v>
      </c>
      <c r="C323" s="70">
        <f t="shared" si="139"/>
        <v>55.201</v>
      </c>
      <c r="D323" s="70">
        <f t="shared" si="123"/>
        <v>71</v>
      </c>
      <c r="E323" s="74">
        <f t="shared" si="125"/>
        <v>0.9634392003933898</v>
      </c>
      <c r="F323" s="74">
        <f t="shared" si="126"/>
        <v>1.239183768915974</v>
      </c>
      <c r="G323" s="74">
        <f t="shared" si="127"/>
        <v>105.20444756427877</v>
      </c>
      <c r="H323" s="74">
        <f t="shared" si="128"/>
        <v>37.50992049257642</v>
      </c>
      <c r="I323" s="74">
        <f t="shared" si="140"/>
        <v>52.12259246172309</v>
      </c>
      <c r="J323" s="74">
        <f t="shared" si="136"/>
        <v>37.50992049257642</v>
      </c>
      <c r="K323" s="74">
        <f t="shared" si="141"/>
        <v>44.19445203907388</v>
      </c>
      <c r="L323" s="74">
        <f t="shared" si="129"/>
        <v>1.8271863724635415</v>
      </c>
      <c r="M323" s="74">
        <f t="shared" si="138"/>
        <v>3.297309476365921</v>
      </c>
      <c r="N323" s="74">
        <f t="shared" si="130"/>
        <v>0.6218050065196917</v>
      </c>
      <c r="O323" s="74">
        <f t="shared" si="131"/>
        <v>66.41452150048009</v>
      </c>
      <c r="P323" s="74">
        <f t="shared" si="132"/>
        <v>0.2817899139011154</v>
      </c>
    </row>
    <row r="324" spans="2:16" ht="13.5">
      <c r="B324" s="74">
        <f t="shared" si="122"/>
        <v>43.547455337981106</v>
      </c>
      <c r="C324" s="70">
        <f t="shared" si="139"/>
        <v>55.201</v>
      </c>
      <c r="D324" s="70">
        <f t="shared" si="123"/>
        <v>72</v>
      </c>
      <c r="E324" s="74">
        <f t="shared" si="125"/>
        <v>0.9634392003933898</v>
      </c>
      <c r="F324" s="74">
        <f t="shared" si="126"/>
        <v>1.2566370614359172</v>
      </c>
      <c r="G324" s="74">
        <f t="shared" si="127"/>
        <v>105.20444756427877</v>
      </c>
      <c r="H324" s="74">
        <f t="shared" si="128"/>
        <v>35.698762256707205</v>
      </c>
      <c r="I324" s="74">
        <f t="shared" si="140"/>
        <v>49.18471901725621</v>
      </c>
      <c r="J324" s="74">
        <f t="shared" si="136"/>
        <v>35.698762256707205</v>
      </c>
      <c r="K324" s="74">
        <f t="shared" si="141"/>
        <v>43.042106963828815</v>
      </c>
      <c r="L324" s="74">
        <f t="shared" si="129"/>
        <v>1.8446396649834846</v>
      </c>
      <c r="M324" s="74">
        <f t="shared" si="138"/>
        <v>3.3129719635610875</v>
      </c>
      <c r="N324" s="74">
        <f t="shared" si="130"/>
        <v>0.5678815425034818</v>
      </c>
      <c r="O324" s="74">
        <f t="shared" si="131"/>
        <v>65.08065080888913</v>
      </c>
      <c r="P324" s="74">
        <f t="shared" si="132"/>
        <v>0.28303726536047025</v>
      </c>
    </row>
    <row r="325" spans="2:16" ht="13.5">
      <c r="B325" s="74">
        <f t="shared" si="122"/>
        <v>43.49629281331484</v>
      </c>
      <c r="C325" s="70">
        <f t="shared" si="139"/>
        <v>55.201</v>
      </c>
      <c r="D325" s="70">
        <f t="shared" si="123"/>
        <v>73</v>
      </c>
      <c r="E325" s="74">
        <f t="shared" si="125"/>
        <v>0.9634392003933898</v>
      </c>
      <c r="F325" s="74">
        <f t="shared" si="126"/>
        <v>1.2740903539558606</v>
      </c>
      <c r="G325" s="74">
        <f t="shared" si="127"/>
        <v>105.20444756427877</v>
      </c>
      <c r="H325" s="74">
        <f t="shared" si="128"/>
        <v>33.86975581055276</v>
      </c>
      <c r="I325" s="74">
        <f t="shared" si="140"/>
        <v>46.27998190580472</v>
      </c>
      <c r="J325" s="74">
        <f t="shared" si="136"/>
        <v>33.86975581055276</v>
      </c>
      <c r="K325" s="74">
        <f t="shared" si="141"/>
        <v>41.90275921160796</v>
      </c>
      <c r="L325" s="74">
        <f t="shared" si="129"/>
        <v>1.8620929575034282</v>
      </c>
      <c r="M325" s="74">
        <f t="shared" si="138"/>
        <v>3.3298030883232532</v>
      </c>
      <c r="N325" s="74">
        <f t="shared" si="130"/>
        <v>0.5134266852020202</v>
      </c>
      <c r="O325" s="74">
        <f t="shared" si="131"/>
        <v>63.777708804649954</v>
      </c>
      <c r="P325" s="74">
        <f t="shared" si="132"/>
        <v>0.2856552866077315</v>
      </c>
    </row>
    <row r="326" spans="2:16" ht="13.5">
      <c r="B326" s="74">
        <f t="shared" si="122"/>
        <v>43.418484137934875</v>
      </c>
      <c r="C326" s="70">
        <f t="shared" si="139"/>
        <v>55.201</v>
      </c>
      <c r="D326" s="70">
        <f t="shared" si="123"/>
        <v>74</v>
      </c>
      <c r="E326" s="74">
        <f t="shared" si="125"/>
        <v>0.9634392003933898</v>
      </c>
      <c r="F326" s="74">
        <f t="shared" si="126"/>
        <v>1.2915436464758039</v>
      </c>
      <c r="G326" s="74">
        <f t="shared" si="127"/>
        <v>105.20444756427877</v>
      </c>
      <c r="H326" s="74">
        <f t="shared" si="128"/>
        <v>32.02150453781869</v>
      </c>
      <c r="I326" s="74">
        <f t="shared" si="140"/>
        <v>43.40608276923955</v>
      </c>
      <c r="J326" s="74">
        <f t="shared" si="136"/>
        <v>32.02150453781869</v>
      </c>
      <c r="K326" s="74">
        <f t="shared" si="141"/>
        <v>40.77550727942922</v>
      </c>
      <c r="L326" s="74">
        <f t="shared" si="129"/>
        <v>1.8795462500233713</v>
      </c>
      <c r="M326" s="74">
        <f t="shared" si="138"/>
        <v>3.347831092152982</v>
      </c>
      <c r="N326" s="74">
        <f t="shared" si="130"/>
        <v>0.4583988532741495</v>
      </c>
      <c r="O326" s="74">
        <f t="shared" si="131"/>
        <v>62.50336278140001</v>
      </c>
      <c r="P326" s="74">
        <f t="shared" si="132"/>
        <v>0.28964088556518347</v>
      </c>
    </row>
    <row r="327" spans="2:16" ht="13.5">
      <c r="B327" s="74">
        <f t="shared" si="122"/>
        <v>43.3140769790597</v>
      </c>
      <c r="C327" s="70">
        <f t="shared" si="139"/>
        <v>55.201</v>
      </c>
      <c r="D327" s="70">
        <f t="shared" si="123"/>
        <v>75</v>
      </c>
      <c r="E327" s="74">
        <f t="shared" si="125"/>
        <v>0.9634392003933898</v>
      </c>
      <c r="F327" s="74">
        <f t="shared" si="126"/>
        <v>1.3089969389957472</v>
      </c>
      <c r="G327" s="74">
        <f t="shared" si="127"/>
        <v>105.20444756427877</v>
      </c>
      <c r="H327" s="74">
        <f t="shared" si="128"/>
        <v>30.152558557855457</v>
      </c>
      <c r="I327" s="74">
        <f t="shared" si="140"/>
        <v>40.560809004261195</v>
      </c>
      <c r="J327" s="74">
        <f aca="true" t="shared" si="142" ref="J327:J359">0.5*$J$18*N327*$D$3+$G$18</f>
        <v>30.152558557855457</v>
      </c>
      <c r="K327" s="74">
        <f t="shared" si="141"/>
        <v>39.65948330059791</v>
      </c>
      <c r="L327" s="74">
        <f t="shared" si="129"/>
        <v>1.8969995425433148</v>
      </c>
      <c r="M327" s="74">
        <f aca="true" t="shared" si="143" ref="M327:M358">J$18/SIN(L327)*SIN(J$19)</f>
        <v>3.3670866011551928</v>
      </c>
      <c r="N327" s="74">
        <f t="shared" si="130"/>
        <v>0.4027548795434824</v>
      </c>
      <c r="O327" s="74">
        <f t="shared" si="131"/>
        <v>61.25535510545848</v>
      </c>
      <c r="P327" s="74">
        <f t="shared" si="132"/>
        <v>0.2949964826814903</v>
      </c>
    </row>
    <row r="328" spans="2:16" ht="13.5">
      <c r="B328" s="74">
        <f t="shared" si="122"/>
        <v>43.183042066624644</v>
      </c>
      <c r="C328" s="70">
        <f t="shared" si="139"/>
        <v>55.201</v>
      </c>
      <c r="D328" s="70">
        <f t="shared" si="123"/>
        <v>76</v>
      </c>
      <c r="E328" s="74">
        <f t="shared" si="125"/>
        <v>0.9634392003933898</v>
      </c>
      <c r="F328" s="74">
        <f t="shared" si="126"/>
        <v>1.3264502315156903</v>
      </c>
      <c r="G328" s="74">
        <f t="shared" si="127"/>
        <v>105.20444756427877</v>
      </c>
      <c r="H328" s="74">
        <f t="shared" si="128"/>
        <v>28.2614098159386</v>
      </c>
      <c r="I328" s="74">
        <f t="shared" si="140"/>
        <v>37.7420264303865</v>
      </c>
      <c r="J328" s="74">
        <f t="shared" si="142"/>
        <v>28.2614098159386</v>
      </c>
      <c r="K328" s="74">
        <f t="shared" si="141"/>
        <v>38.55385016881386</v>
      </c>
      <c r="L328" s="74">
        <f t="shared" si="129"/>
        <v>1.914452835063258</v>
      </c>
      <c r="M328" s="74">
        <f t="shared" si="143"/>
        <v>3.3876027589624966</v>
      </c>
      <c r="N328" s="74">
        <f t="shared" si="130"/>
        <v>0.34644986482172163</v>
      </c>
      <c r="O328" s="74">
        <f t="shared" si="131"/>
        <v>60.03149283036322</v>
      </c>
      <c r="P328" s="74">
        <f t="shared" si="132"/>
        <v>0.3017297829182796</v>
      </c>
    </row>
    <row r="329" spans="2:16" ht="13.5">
      <c r="B329" s="74">
        <f t="shared" si="122"/>
        <v>43.0252733163212</v>
      </c>
      <c r="C329" s="70">
        <f t="shared" si="139"/>
        <v>55.201</v>
      </c>
      <c r="D329" s="70">
        <f t="shared" si="123"/>
        <v>77</v>
      </c>
      <c r="E329" s="74">
        <f t="shared" si="125"/>
        <v>0.9634392003933898</v>
      </c>
      <c r="F329" s="74">
        <f t="shared" si="126"/>
        <v>1.3439035240356338</v>
      </c>
      <c r="G329" s="74">
        <f t="shared" si="127"/>
        <v>105.20444756427877</v>
      </c>
      <c r="H329" s="74">
        <f t="shared" si="128"/>
        <v>26.34648681054474</v>
      </c>
      <c r="I329" s="74">
        <f t="shared" si="140"/>
        <v>34.9476724316321</v>
      </c>
      <c r="J329" s="74">
        <f t="shared" si="142"/>
        <v>26.34648681054474</v>
      </c>
      <c r="K329" s="74">
        <f t="shared" si="141"/>
        <v>37.4577988480803</v>
      </c>
      <c r="L329" s="74">
        <f t="shared" si="129"/>
        <v>1.9319061275832015</v>
      </c>
      <c r="M329" s="74">
        <f t="shared" si="143"/>
        <v>3.409415373203253</v>
      </c>
      <c r="N329" s="74">
        <f t="shared" si="130"/>
        <v>0.2894370209242849</v>
      </c>
      <c r="O329" s="74">
        <f t="shared" si="131"/>
        <v>58.8296377266786</v>
      </c>
      <c r="P329" s="74">
        <f t="shared" si="132"/>
        <v>0.30985351753225665</v>
      </c>
    </row>
    <row r="330" spans="2:16" ht="13.5">
      <c r="B330" s="74">
        <f t="shared" si="122"/>
        <v>42.84058745752803</v>
      </c>
      <c r="C330" s="70">
        <f t="shared" si="139"/>
        <v>55.201</v>
      </c>
      <c r="D330" s="70">
        <f t="shared" si="123"/>
        <v>78</v>
      </c>
      <c r="E330" s="74">
        <f t="shared" si="125"/>
        <v>0.9634392003933898</v>
      </c>
      <c r="F330" s="74">
        <f t="shared" si="126"/>
        <v>1.361356816555577</v>
      </c>
      <c r="G330" s="74">
        <f t="shared" si="127"/>
        <v>105.20444756427877</v>
      </c>
      <c r="H330" s="74">
        <f t="shared" si="128"/>
        <v>24.40614891650218</v>
      </c>
      <c r="I330" s="74">
        <f t="shared" si="140"/>
        <v>32.17574952279962</v>
      </c>
      <c r="J330" s="74">
        <f t="shared" si="142"/>
        <v>24.40614891650218</v>
      </c>
      <c r="K330" s="74">
        <f t="shared" si="141"/>
        <v>36.370545849157565</v>
      </c>
      <c r="L330" s="74">
        <f t="shared" si="129"/>
        <v>1.9493594201031446</v>
      </c>
      <c r="M330" s="74">
        <f t="shared" si="143"/>
        <v>3.4325630767730444</v>
      </c>
      <c r="N330" s="74">
        <f t="shared" si="130"/>
        <v>0.23166750165393885</v>
      </c>
      <c r="O330" s="74">
        <f t="shared" si="131"/>
        <v>57.64769663841413</v>
      </c>
      <c r="P330" s="74">
        <f t="shared" si="132"/>
        <v>0.3193851450895913</v>
      </c>
    </row>
    <row r="331" spans="2:16" ht="13.5">
      <c r="B331" s="74">
        <f t="shared" si="122"/>
        <v>42.62872316322509</v>
      </c>
      <c r="C331" s="70">
        <f t="shared" si="139"/>
        <v>55.201</v>
      </c>
      <c r="D331" s="70">
        <f t="shared" si="123"/>
        <v>79</v>
      </c>
      <c r="E331" s="74">
        <f t="shared" si="125"/>
        <v>0.9634392003933898</v>
      </c>
      <c r="F331" s="74">
        <f t="shared" si="126"/>
        <v>1.3788101090755203</v>
      </c>
      <c r="G331" s="74">
        <f t="shared" si="127"/>
        <v>105.20444756427877</v>
      </c>
      <c r="H331" s="74">
        <f t="shared" si="128"/>
        <v>22.438680258289008</v>
      </c>
      <c r="I331" s="74">
        <f t="shared" si="140"/>
        <v>29.424319295722153</v>
      </c>
      <c r="J331" s="74">
        <f t="shared" si="142"/>
        <v>22.438680258289008</v>
      </c>
      <c r="K331" s="74">
        <f t="shared" si="141"/>
        <v>35.29133085505204</v>
      </c>
      <c r="L331" s="74">
        <f t="shared" si="129"/>
        <v>1.9668127126230877</v>
      </c>
      <c r="M331" s="74">
        <f t="shared" si="143"/>
        <v>3.4570875053272205</v>
      </c>
      <c r="N331" s="74">
        <f t="shared" si="130"/>
        <v>0.17309022039101127</v>
      </c>
      <c r="O331" s="74">
        <f t="shared" si="131"/>
        <v>56.48361208114269</v>
      </c>
      <c r="P331" s="74">
        <f t="shared" si="132"/>
        <v>0.3303464980251691</v>
      </c>
    </row>
    <row r="332" spans="2:16" ht="13.5">
      <c r="B332" s="74">
        <f t="shared" si="122"/>
        <v>42.389339673224</v>
      </c>
      <c r="C332" s="70">
        <f t="shared" si="139"/>
        <v>55.201</v>
      </c>
      <c r="D332" s="70">
        <f t="shared" si="123"/>
        <v>80</v>
      </c>
      <c r="E332" s="74">
        <f t="shared" si="125"/>
        <v>0.9634392003933898</v>
      </c>
      <c r="F332" s="74">
        <f t="shared" si="126"/>
        <v>1.3962634015954636</v>
      </c>
      <c r="G332" s="74">
        <f t="shared" si="127"/>
        <v>105.20444756427877</v>
      </c>
      <c r="H332" s="74">
        <f t="shared" si="128"/>
        <v>20.442283082501756</v>
      </c>
      <c r="I332" s="74">
        <f t="shared" si="140"/>
        <v>26.691496704743898</v>
      </c>
      <c r="J332" s="74">
        <f t="shared" si="142"/>
        <v>20.442283082501756</v>
      </c>
      <c r="K332" s="74">
        <f t="shared" si="141"/>
        <v>34.21941447956511</v>
      </c>
      <c r="L332" s="74">
        <f t="shared" si="129"/>
        <v>1.9842660051430312</v>
      </c>
      <c r="M332" s="74">
        <f t="shared" si="143"/>
        <v>3.483033492591896</v>
      </c>
      <c r="N332" s="74">
        <f t="shared" si="130"/>
        <v>0.1136516527724497</v>
      </c>
      <c r="O332" s="74">
        <f t="shared" si="131"/>
        <v>55.335352999408556</v>
      </c>
      <c r="P332" s="74">
        <f t="shared" si="132"/>
        <v>0.3427633579127264</v>
      </c>
    </row>
    <row r="333" spans="2:16" ht="13.5">
      <c r="B333" s="74">
        <f t="shared" si="122"/>
        <v>42.12201489614376</v>
      </c>
      <c r="C333" s="70">
        <f t="shared" si="139"/>
        <v>55.201</v>
      </c>
      <c r="D333" s="70">
        <f t="shared" si="123"/>
        <v>81</v>
      </c>
      <c r="E333" s="74">
        <f t="shared" si="125"/>
        <v>0.9634392003933898</v>
      </c>
      <c r="F333" s="74">
        <f t="shared" si="126"/>
        <v>1.413716694115407</v>
      </c>
      <c r="G333" s="74">
        <f t="shared" si="127"/>
        <v>105.20444756427877</v>
      </c>
      <c r="H333" s="74">
        <f t="shared" si="128"/>
        <v>18.415070572518374</v>
      </c>
      <c r="I333" s="74">
        <f t="shared" si="140"/>
        <v>23.97544465412669</v>
      </c>
      <c r="J333" s="74">
        <f t="shared" si="142"/>
        <v>18.415070572518374</v>
      </c>
      <c r="K333" s="74">
        <f t="shared" si="141"/>
        <v>33.15407614426935</v>
      </c>
      <c r="L333" s="74">
        <f t="shared" si="129"/>
        <v>2.0017192976629743</v>
      </c>
      <c r="M333" s="74">
        <f t="shared" si="143"/>
        <v>3.510449285294637</v>
      </c>
      <c r="N333" s="74">
        <f t="shared" si="130"/>
        <v>0.053295622763378</v>
      </c>
      <c r="O333" s="74">
        <f t="shared" si="131"/>
        <v>54.20090560230747</v>
      </c>
      <c r="P333" s="74">
        <f t="shared" si="132"/>
        <v>0.35666493948743055</v>
      </c>
    </row>
    <row r="334" spans="2:16" ht="13.5">
      <c r="B334" s="74">
        <f t="shared" si="122"/>
        <v>43.51888102926925</v>
      </c>
      <c r="C334" s="70">
        <f t="shared" si="139"/>
        <v>55.201</v>
      </c>
      <c r="D334" s="70">
        <f>D303</f>
        <v>82</v>
      </c>
      <c r="E334" s="74">
        <f t="shared" si="125"/>
        <v>0.9634392003933898</v>
      </c>
      <c r="F334" s="74">
        <f t="shared" si="126"/>
        <v>1.43116998663535</v>
      </c>
      <c r="G334" s="74">
        <f t="shared" si="127"/>
        <v>105.20444756427877</v>
      </c>
      <c r="H334" s="74">
        <f t="shared" si="128"/>
        <v>21.274368853074545</v>
      </c>
      <c r="I334" s="74">
        <f t="shared" si="140"/>
        <v>21.274368853074545</v>
      </c>
      <c r="J334" s="74">
        <f t="shared" si="142"/>
        <v>16.355059041525283</v>
      </c>
      <c r="K334" s="74">
        <f t="shared" si="141"/>
        <v>32.09461206045451</v>
      </c>
      <c r="L334" s="74">
        <f t="shared" si="129"/>
        <v>2.0191725901829174</v>
      </c>
      <c r="M334" s="74">
        <f t="shared" si="143"/>
        <v>3.539386779747792</v>
      </c>
      <c r="N334" s="74">
        <f t="shared" si="130"/>
        <v>-0.008036929779261789</v>
      </c>
      <c r="O334" s="74">
        <f t="shared" si="131"/>
        <v>55.22625272571919</v>
      </c>
      <c r="P334" s="74">
        <f t="shared" si="132"/>
        <v>0.2844991673544078</v>
      </c>
    </row>
    <row r="335" spans="2:16" ht="13.5">
      <c r="B335" s="74">
        <f t="shared" si="122"/>
        <v>43.004385688079466</v>
      </c>
      <c r="C335" s="70">
        <f t="shared" si="139"/>
        <v>55.201</v>
      </c>
      <c r="D335" s="70">
        <f t="shared" si="123"/>
        <v>83</v>
      </c>
      <c r="E335" s="74">
        <f t="shared" si="125"/>
        <v>0.9634392003933898</v>
      </c>
      <c r="F335" s="74">
        <f t="shared" si="126"/>
        <v>1.4486232791552935</v>
      </c>
      <c r="G335" s="74">
        <f t="shared" si="127"/>
        <v>105.20444756427877</v>
      </c>
      <c r="H335" s="74">
        <f t="shared" si="128"/>
        <v>18.586512906677186</v>
      </c>
      <c r="I335" s="74">
        <f t="shared" si="140"/>
        <v>18.586512906677186</v>
      </c>
      <c r="J335" s="74">
        <f t="shared" si="142"/>
        <v>14.26015943222883</v>
      </c>
      <c r="K335" s="74">
        <f t="shared" si="141"/>
        <v>31.040333303609955</v>
      </c>
      <c r="L335" s="74">
        <f t="shared" si="129"/>
        <v>2.036625882702861</v>
      </c>
      <c r="M335" s="74">
        <f t="shared" si="143"/>
        <v>3.569901782381449</v>
      </c>
      <c r="N335" s="74">
        <f t="shared" si="130"/>
        <v>-0.0704082021850964</v>
      </c>
      <c r="O335" s="74">
        <f t="shared" si="131"/>
        <v>53.847324777147556</v>
      </c>
      <c r="P335" s="74">
        <f t="shared" si="132"/>
        <v>0.3109303691144622</v>
      </c>
    </row>
    <row r="336" spans="2:16" ht="13.5">
      <c r="B336" s="74">
        <f t="shared" si="122"/>
        <v>42.4731858054382</v>
      </c>
      <c r="C336" s="70">
        <f t="shared" si="139"/>
        <v>55.201</v>
      </c>
      <c r="D336" s="70">
        <f t="shared" si="123"/>
        <v>84</v>
      </c>
      <c r="E336" s="74">
        <f t="shared" si="125"/>
        <v>0.9634392003933898</v>
      </c>
      <c r="F336" s="74">
        <f t="shared" si="126"/>
        <v>1.4660765716752369</v>
      </c>
      <c r="G336" s="74">
        <f t="shared" si="127"/>
        <v>105.20444756427877</v>
      </c>
      <c r="H336" s="74">
        <f t="shared" si="128"/>
        <v>15.910153613341771</v>
      </c>
      <c r="I336" s="74">
        <f t="shared" si="140"/>
        <v>15.910153613341771</v>
      </c>
      <c r="J336" s="74">
        <f t="shared" si="142"/>
        <v>12.128168042573405</v>
      </c>
      <c r="K336" s="74">
        <f t="shared" si="141"/>
        <v>29.990563968899536</v>
      </c>
      <c r="L336" s="74">
        <f t="shared" si="129"/>
        <v>2.0540791752228045</v>
      </c>
      <c r="M336" s="74">
        <f t="shared" si="143"/>
        <v>3.602054296824678</v>
      </c>
      <c r="N336" s="74">
        <f t="shared" si="130"/>
        <v>-0.1338838050927462</v>
      </c>
      <c r="O336" s="74">
        <f t="shared" si="131"/>
        <v>52.49974487650077</v>
      </c>
      <c r="P336" s="74">
        <f t="shared" si="132"/>
        <v>0.3384106296218469</v>
      </c>
    </row>
    <row r="337" spans="2:16" ht="13.5">
      <c r="B337" s="74">
        <f t="shared" si="122"/>
        <v>41.925254471393224</v>
      </c>
      <c r="C337" s="70">
        <f t="shared" si="139"/>
        <v>55.201</v>
      </c>
      <c r="D337" s="70">
        <f t="shared" si="123"/>
        <v>85</v>
      </c>
      <c r="E337" s="74">
        <f t="shared" si="125"/>
        <v>0.9634392003933898</v>
      </c>
      <c r="F337" s="74">
        <f t="shared" si="126"/>
        <v>1.4835298641951802</v>
      </c>
      <c r="G337" s="74">
        <f t="shared" si="127"/>
        <v>105.20444756427877</v>
      </c>
      <c r="H337" s="74">
        <f t="shared" si="128"/>
        <v>13.24359644123674</v>
      </c>
      <c r="I337" s="74">
        <f t="shared" si="140"/>
        <v>13.24359644123674</v>
      </c>
      <c r="J337" s="74">
        <f t="shared" si="142"/>
        <v>9.956756386451493</v>
      </c>
      <c r="K337" s="74">
        <f t="shared" si="141"/>
        <v>28.944639396851734</v>
      </c>
      <c r="L337" s="74">
        <f t="shared" si="129"/>
        <v>2.0715324677427476</v>
      </c>
      <c r="M337" s="74">
        <f t="shared" si="143"/>
        <v>3.6359088404790922</v>
      </c>
      <c r="N337" s="74">
        <f t="shared" si="130"/>
        <v>-0.1985330643260647</v>
      </c>
      <c r="O337" s="74">
        <f t="shared" si="131"/>
        <v>51.18128528603446</v>
      </c>
      <c r="P337" s="74">
        <f t="shared" si="132"/>
        <v>0.3669179223875429</v>
      </c>
    </row>
    <row r="338" spans="2:16" ht="13.5">
      <c r="B338" s="74">
        <f t="shared" si="122"/>
        <v>41.36051943261419</v>
      </c>
      <c r="C338" s="70">
        <f>C337</f>
        <v>55.201</v>
      </c>
      <c r="D338" s="70">
        <f t="shared" si="123"/>
        <v>86</v>
      </c>
      <c r="E338" s="74">
        <f t="shared" si="125"/>
        <v>0.9634392003933898</v>
      </c>
      <c r="F338" s="74">
        <f t="shared" si="126"/>
        <v>1.5009831567151233</v>
      </c>
      <c r="G338" s="74">
        <f t="shared" si="127"/>
        <v>105.20444756427877</v>
      </c>
      <c r="H338" s="74">
        <f t="shared" si="128"/>
        <v>10.585171157948913</v>
      </c>
      <c r="I338" s="74">
        <f t="shared" si="140"/>
        <v>10.585171157948913</v>
      </c>
      <c r="J338" s="74">
        <f t="shared" si="142"/>
        <v>7.743460086500027</v>
      </c>
      <c r="K338" s="74">
        <f t="shared" si="141"/>
        <v>27.90190445914594</v>
      </c>
      <c r="L338" s="74">
        <f t="shared" si="129"/>
        <v>2.0889857602626907</v>
      </c>
      <c r="M338" s="74">
        <f t="shared" si="143"/>
        <v>3.6715347939252476</v>
      </c>
      <c r="N338" s="74">
        <f t="shared" si="130"/>
        <v>-0.26442935158799213</v>
      </c>
      <c r="O338" s="74">
        <f t="shared" si="131"/>
        <v>49.88980089906381</v>
      </c>
      <c r="P338" s="74">
        <f t="shared" si="132"/>
        <v>0.3964237068349061</v>
      </c>
    </row>
    <row r="339" spans="2:16" ht="13.5">
      <c r="B339" s="74">
        <f t="shared" si="122"/>
        <v>40.778863943578095</v>
      </c>
      <c r="C339" s="70">
        <f>C338</f>
        <v>55.201</v>
      </c>
      <c r="D339" s="70">
        <f t="shared" si="123"/>
        <v>87</v>
      </c>
      <c r="E339" s="74">
        <f t="shared" si="125"/>
        <v>0.9634392003933898</v>
      </c>
      <c r="F339" s="74">
        <f t="shared" si="126"/>
        <v>1.5184364492350666</v>
      </c>
      <c r="G339" s="74">
        <f t="shared" si="127"/>
        <v>105.20444756427877</v>
      </c>
      <c r="H339" s="74">
        <f t="shared" si="128"/>
        <v>7.933227588970383</v>
      </c>
      <c r="I339" s="74">
        <f t="shared" si="140"/>
        <v>7.933227588970383</v>
      </c>
      <c r="J339" s="74">
        <f t="shared" si="142"/>
        <v>5.4856666823648865</v>
      </c>
      <c r="K339" s="74">
        <f t="shared" si="141"/>
        <v>26.861711894930572</v>
      </c>
      <c r="L339" s="74">
        <f t="shared" si="129"/>
        <v>2.106439052782634</v>
      </c>
      <c r="M339" s="74">
        <f t="shared" si="143"/>
        <v>3.7090067869585464</v>
      </c>
      <c r="N339" s="74">
        <f t="shared" si="130"/>
        <v>-0.3316504474440855</v>
      </c>
      <c r="O339" s="74">
        <f t="shared" si="131"/>
        <v>48.62322048987387</v>
      </c>
      <c r="P339" s="74">
        <f t="shared" si="132"/>
        <v>0.42689225649213436</v>
      </c>
    </row>
    <row r="340" spans="2:16" ht="13.5">
      <c r="B340" s="74">
        <f t="shared" si="122"/>
        <v>40.180127361269435</v>
      </c>
      <c r="C340" s="70">
        <f>C339</f>
        <v>55.201</v>
      </c>
      <c r="D340" s="70">
        <f t="shared" si="123"/>
        <v>88</v>
      </c>
      <c r="E340" s="74">
        <f t="shared" si="125"/>
        <v>0.9634392003933898</v>
      </c>
      <c r="F340" s="74">
        <f t="shared" si="126"/>
        <v>1.53588974175501</v>
      </c>
      <c r="G340" s="74">
        <f t="shared" si="127"/>
        <v>105.20444756427877</v>
      </c>
      <c r="H340" s="74">
        <f t="shared" si="128"/>
        <v>5.286131481813329</v>
      </c>
      <c r="I340" s="74">
        <f t="shared" si="140"/>
        <v>5.286131481813329</v>
      </c>
      <c r="J340" s="74">
        <f t="shared" si="142"/>
        <v>3.180602221976846</v>
      </c>
      <c r="K340" s="74">
        <f t="shared" si="141"/>
        <v>25.823420688572526</v>
      </c>
      <c r="L340" s="74">
        <f t="shared" si="129"/>
        <v>2.1238923453025773</v>
      </c>
      <c r="M340" s="74">
        <f t="shared" si="143"/>
        <v>3.7484051255774977</v>
      </c>
      <c r="N340" s="74">
        <f t="shared" si="130"/>
        <v>-0.4002789405393484</v>
      </c>
      <c r="O340" s="74">
        <f t="shared" si="131"/>
        <v>47.37953842874738</v>
      </c>
      <c r="P340" s="74">
        <f t="shared" si="132"/>
        <v>0.4582800997967629</v>
      </c>
    </row>
    <row r="341" spans="2:16" ht="13.5">
      <c r="B341" s="74">
        <f t="shared" si="122"/>
        <v>39.56410549310343</v>
      </c>
      <c r="C341" s="70">
        <f>C340</f>
        <v>55.201</v>
      </c>
      <c r="D341" s="70">
        <f t="shared" si="123"/>
        <v>89</v>
      </c>
      <c r="E341" s="74">
        <f t="shared" si="125"/>
        <v>0.9634392003933898</v>
      </c>
      <c r="F341" s="74">
        <f t="shared" si="126"/>
        <v>1.5533430342749535</v>
      </c>
      <c r="G341" s="74">
        <f t="shared" si="127"/>
        <v>105.20444756427877</v>
      </c>
      <c r="H341" s="74">
        <f t="shared" si="128"/>
        <v>2.642260453508916</v>
      </c>
      <c r="I341" s="74">
        <f t="shared" si="140"/>
        <v>2.642260453508916</v>
      </c>
      <c r="J341" s="74">
        <f t="shared" si="142"/>
        <v>0.8253164850416557</v>
      </c>
      <c r="K341" s="74">
        <f t="shared" si="141"/>
        <v>24.78639448011291</v>
      </c>
      <c r="L341" s="74">
        <f t="shared" si="129"/>
        <v>2.141345637822521</v>
      </c>
      <c r="M341" s="74">
        <f t="shared" si="143"/>
        <v>3.7898162648555984</v>
      </c>
      <c r="N341" s="74">
        <f t="shared" si="130"/>
        <v>-0.47040266753803595</v>
      </c>
      <c r="O341" s="74">
        <f t="shared" si="131"/>
        <v>46.15680679920497</v>
      </c>
      <c r="P341" s="74">
        <f t="shared" si="132"/>
        <v>0.49053560938581175</v>
      </c>
    </row>
    <row r="342" spans="2:16" ht="13.5">
      <c r="B342" s="74">
        <f aca="true" t="shared" si="144" ref="B342:B352">O342*SIN(F342-F$4)</f>
        <v>38.93055070535813</v>
      </c>
      <c r="C342" s="70">
        <f>C341</f>
        <v>55.201</v>
      </c>
      <c r="D342" s="70">
        <f t="shared" si="123"/>
        <v>90</v>
      </c>
      <c r="E342" s="74">
        <f t="shared" si="125"/>
        <v>0.9634392003933898</v>
      </c>
      <c r="F342" s="74">
        <f t="shared" si="126"/>
        <v>1.5707963267948966</v>
      </c>
      <c r="G342" s="74">
        <f t="shared" si="127"/>
        <v>105.20444756427877</v>
      </c>
      <c r="H342" s="74">
        <f t="shared" si="128"/>
        <v>9.272842368089618E-15</v>
      </c>
      <c r="I342" s="74">
        <f t="shared" si="140"/>
        <v>9.272842368089618E-15</v>
      </c>
      <c r="J342" s="74">
        <f t="shared" si="142"/>
        <v>-1.5833333333333073</v>
      </c>
      <c r="K342" s="74">
        <f t="shared" si="141"/>
        <v>23.750000000000007</v>
      </c>
      <c r="L342" s="74">
        <f t="shared" si="129"/>
        <v>2.158798930342464</v>
      </c>
      <c r="M342" s="74">
        <f t="shared" si="143"/>
        <v>3.8333333333333317</v>
      </c>
      <c r="N342" s="74">
        <f t="shared" si="130"/>
        <v>-0.5421151989096857</v>
      </c>
      <c r="O342" s="74">
        <f t="shared" si="131"/>
        <v>44.95312785887778</v>
      </c>
      <c r="P342" s="74">
        <f t="shared" si="132"/>
        <v>0.5235987755982986</v>
      </c>
    </row>
    <row r="343" spans="2:16" ht="13.5">
      <c r="B343" s="74">
        <f t="shared" si="144"/>
        <v>41.888541384029566</v>
      </c>
      <c r="C343" s="70">
        <f>C342+J214</f>
        <v>57.601</v>
      </c>
      <c r="D343" s="70">
        <f t="shared" si="123"/>
        <v>60</v>
      </c>
      <c r="E343" s="74">
        <f t="shared" si="125"/>
        <v>1.0053271024412536</v>
      </c>
      <c r="F343" s="74">
        <f t="shared" si="126"/>
        <v>1.0471975511965976</v>
      </c>
      <c r="G343" s="74">
        <f t="shared" si="127"/>
        <v>96.06179017435086</v>
      </c>
      <c r="H343" s="74">
        <f t="shared" si="128"/>
        <v>56.61327536344993</v>
      </c>
      <c r="I343" s="74">
        <f t="shared" si="140"/>
        <v>87.39639699857963</v>
      </c>
      <c r="J343" s="74">
        <f t="shared" si="142"/>
        <v>56.61327536344993</v>
      </c>
      <c r="K343" s="74">
        <f t="shared" si="141"/>
        <v>58.03017223313404</v>
      </c>
      <c r="L343" s="74">
        <f t="shared" si="129"/>
        <v>1.6352001547441652</v>
      </c>
      <c r="M343" s="74">
        <f t="shared" si="143"/>
        <v>3.196152422706631</v>
      </c>
      <c r="N343" s="74">
        <f t="shared" si="130"/>
        <v>1.1905676074715958</v>
      </c>
      <c r="O343" s="74">
        <f t="shared" si="131"/>
        <v>83.77708276805915</v>
      </c>
      <c r="P343" s="74">
        <f t="shared" si="132"/>
        <v>0.36360921731779733</v>
      </c>
    </row>
    <row r="344" spans="2:16" ht="13.5">
      <c r="B344" s="74">
        <f t="shared" si="144"/>
        <v>42.20807676954248</v>
      </c>
      <c r="C344" s="70">
        <f>C343</f>
        <v>57.601</v>
      </c>
      <c r="D344" s="70">
        <f t="shared" si="123"/>
        <v>61</v>
      </c>
      <c r="E344" s="74">
        <f t="shared" si="125"/>
        <v>1.0053271024412536</v>
      </c>
      <c r="F344" s="74">
        <f t="shared" si="126"/>
        <v>1.064650843716541</v>
      </c>
      <c r="G344" s="74">
        <f t="shared" si="127"/>
        <v>96.06179017435086</v>
      </c>
      <c r="H344" s="74">
        <f t="shared" si="128"/>
        <v>54.91741842603781</v>
      </c>
      <c r="I344" s="74">
        <f t="shared" si="140"/>
        <v>83.90853266366291</v>
      </c>
      <c r="J344" s="74">
        <f t="shared" si="142"/>
        <v>54.91741842603781</v>
      </c>
      <c r="K344" s="74">
        <f t="shared" si="141"/>
        <v>56.662099930008154</v>
      </c>
      <c r="L344" s="74">
        <f t="shared" si="129"/>
        <v>1.6526534472641083</v>
      </c>
      <c r="M344" s="74">
        <f t="shared" si="143"/>
        <v>3.200241894286732</v>
      </c>
      <c r="N344" s="74">
        <f t="shared" si="130"/>
        <v>1.1400769994561701</v>
      </c>
      <c r="O344" s="74">
        <f t="shared" si="131"/>
        <v>81.95137180278111</v>
      </c>
      <c r="P344" s="74">
        <f t="shared" si="132"/>
        <v>0.34835717053049087</v>
      </c>
    </row>
    <row r="345" spans="2:16" ht="13.5">
      <c r="B345" s="74">
        <f t="shared" si="144"/>
        <v>42.492235826471756</v>
      </c>
      <c r="C345" s="70">
        <f aca="true" t="shared" si="145" ref="C345:C373">C344</f>
        <v>57.601</v>
      </c>
      <c r="D345" s="70">
        <f t="shared" si="123"/>
        <v>62</v>
      </c>
      <c r="E345" s="74">
        <f t="shared" si="125"/>
        <v>1.0053271024412536</v>
      </c>
      <c r="F345" s="74">
        <f t="shared" si="126"/>
        <v>1.0821041362364843</v>
      </c>
      <c r="G345" s="74">
        <f t="shared" si="127"/>
        <v>96.06179017435086</v>
      </c>
      <c r="H345" s="74">
        <f t="shared" si="128"/>
        <v>53.21669751699319</v>
      </c>
      <c r="I345" s="74">
        <f t="shared" si="140"/>
        <v>80.48751521775635</v>
      </c>
      <c r="J345" s="74">
        <f t="shared" si="142"/>
        <v>53.21669751699319</v>
      </c>
      <c r="K345" s="74">
        <f t="shared" si="141"/>
        <v>55.3202475049003</v>
      </c>
      <c r="L345" s="74">
        <f t="shared" si="129"/>
        <v>1.6701067397840519</v>
      </c>
      <c r="M345" s="74">
        <f t="shared" si="143"/>
        <v>3.205319466443784</v>
      </c>
      <c r="N345" s="74">
        <f t="shared" si="130"/>
        <v>1.0894415768165406</v>
      </c>
      <c r="O345" s="74">
        <f t="shared" si="131"/>
        <v>80.18624476307382</v>
      </c>
      <c r="P345" s="74">
        <f t="shared" si="132"/>
        <v>0.33484571927401835</v>
      </c>
    </row>
    <row r="346" spans="2:16" ht="13.5">
      <c r="B346" s="74">
        <f t="shared" si="144"/>
        <v>42.74214553103419</v>
      </c>
      <c r="C346" s="70">
        <f t="shared" si="145"/>
        <v>57.601</v>
      </c>
      <c r="D346" s="70">
        <f>D315</f>
        <v>63</v>
      </c>
      <c r="E346" s="74">
        <f t="shared" si="125"/>
        <v>1.0053271024412536</v>
      </c>
      <c r="F346" s="74">
        <f t="shared" si="126"/>
        <v>1.0995574287564276</v>
      </c>
      <c r="G346" s="74">
        <f t="shared" si="127"/>
        <v>96.06179017435086</v>
      </c>
      <c r="H346" s="74">
        <f t="shared" si="128"/>
        <v>51.51005054407396</v>
      </c>
      <c r="I346" s="74">
        <f t="shared" si="140"/>
        <v>77.12941491721917</v>
      </c>
      <c r="J346" s="74">
        <f t="shared" si="142"/>
        <v>51.51005054407396</v>
      </c>
      <c r="K346" s="74">
        <f t="shared" si="141"/>
        <v>54.00307356373172</v>
      </c>
      <c r="L346" s="74">
        <f t="shared" si="129"/>
        <v>1.687560032303995</v>
      </c>
      <c r="M346" s="74">
        <f t="shared" si="143"/>
        <v>3.2113929525108333</v>
      </c>
      <c r="N346" s="74">
        <f t="shared" si="130"/>
        <v>1.0386297179684278</v>
      </c>
      <c r="O346" s="74">
        <f t="shared" si="131"/>
        <v>78.47793269142909</v>
      </c>
      <c r="P346" s="74">
        <f t="shared" si="132"/>
        <v>0.3230071001478877</v>
      </c>
    </row>
    <row r="347" spans="2:16" ht="13.5">
      <c r="B347" s="74">
        <f t="shared" si="144"/>
        <v>42.95881127787485</v>
      </c>
      <c r="C347" s="70">
        <f t="shared" si="145"/>
        <v>57.601</v>
      </c>
      <c r="D347" s="70">
        <f>D316</f>
        <v>64</v>
      </c>
      <c r="E347" s="74">
        <f t="shared" si="125"/>
        <v>1.0053271024412536</v>
      </c>
      <c r="F347" s="74">
        <f t="shared" si="126"/>
        <v>1.117010721276371</v>
      </c>
      <c r="G347" s="74">
        <f t="shared" si="127"/>
        <v>96.06179017435086</v>
      </c>
      <c r="H347" s="74">
        <f t="shared" si="128"/>
        <v>49.7964007486329</v>
      </c>
      <c r="I347" s="74">
        <f t="shared" si="140"/>
        <v>73.83052059415728</v>
      </c>
      <c r="J347" s="74">
        <f t="shared" si="142"/>
        <v>49.7964007486329</v>
      </c>
      <c r="K347" s="74">
        <f t="shared" si="141"/>
        <v>52.70912244609802</v>
      </c>
      <c r="L347" s="74">
        <f t="shared" si="129"/>
        <v>1.7050133248239385</v>
      </c>
      <c r="M347" s="74">
        <f t="shared" si="143"/>
        <v>3.21847173736185</v>
      </c>
      <c r="N347" s="74">
        <f t="shared" si="130"/>
        <v>0.9876093646658881</v>
      </c>
      <c r="O347" s="74">
        <f t="shared" si="131"/>
        <v>76.82288350092082</v>
      </c>
      <c r="P347" s="74">
        <f t="shared" si="132"/>
        <v>0.3127793646273339</v>
      </c>
    </row>
    <row r="348" spans="2:16" ht="13.5">
      <c r="B348" s="74">
        <f t="shared" si="144"/>
        <v>43.1431242301786</v>
      </c>
      <c r="C348" s="70">
        <f t="shared" si="145"/>
        <v>57.601</v>
      </c>
      <c r="D348" s="70">
        <f>D317</f>
        <v>65</v>
      </c>
      <c r="E348" s="74">
        <f aca="true" t="shared" si="146" ref="E348:E404">C348*PI()/180</f>
        <v>1.0053271024412536</v>
      </c>
      <c r="F348" s="74">
        <f aca="true" t="shared" si="147" ref="F348:F404">D348*PI()/180</f>
        <v>1.1344640137963142</v>
      </c>
      <c r="G348" s="74">
        <f aca="true" t="shared" si="148" ref="G348:G404">(0.5*$D$3*$D$9+$D$5)*$D$9/TAN(E348)</f>
        <v>96.06179017435086</v>
      </c>
      <c r="H348" s="74">
        <f aca="true" t="shared" si="149" ref="H348:H404">IF(D348&gt;$F$17,I348,IF(D348&lt;$F$16,K348,J348))</f>
        <v>48.07465394252364</v>
      </c>
      <c r="I348" s="74">
        <f t="shared" si="140"/>
        <v>70.58732175321292</v>
      </c>
      <c r="J348" s="74">
        <f t="shared" si="142"/>
        <v>48.07465394252364</v>
      </c>
      <c r="K348" s="74">
        <f t="shared" si="141"/>
        <v>51.43701720295304</v>
      </c>
      <c r="L348" s="74">
        <f aca="true" t="shared" si="150" ref="L348:L404">F348+D$14</f>
        <v>1.7224666173438816</v>
      </c>
      <c r="M348" s="74">
        <f t="shared" si="143"/>
        <v>3.2265668130425462</v>
      </c>
      <c r="N348" s="74">
        <f aca="true" t="shared" si="151" ref="N348:N404">M348*SIN(D$17-F348)</f>
        <v>0.9363479397359457</v>
      </c>
      <c r="O348" s="74">
        <f aca="true" t="shared" si="152" ref="O348:O404">SIN(E348-F$4)/SIN(E348+F348-2*F$4)*(G348+H348)</f>
        <v>75.21774169218783</v>
      </c>
      <c r="P348" s="74">
        <f aca="true" t="shared" si="153" ref="P348:P404">ATAN((O348*COS(F348-F$4)-H348)/(O348*SIN(F348-F$4)))</f>
        <v>0.30410676393586017</v>
      </c>
    </row>
    <row r="349" spans="2:16" ht="13.5">
      <c r="B349" s="74">
        <f t="shared" si="144"/>
        <v>43.29586774846839</v>
      </c>
      <c r="C349" s="70">
        <f t="shared" si="145"/>
        <v>57.601</v>
      </c>
      <c r="D349" s="70">
        <f>D318</f>
        <v>66</v>
      </c>
      <c r="E349" s="74">
        <f t="shared" si="146"/>
        <v>1.0053271024412536</v>
      </c>
      <c r="F349" s="74">
        <f t="shared" si="147"/>
        <v>1.1519173063162575</v>
      </c>
      <c r="G349" s="74">
        <f t="shared" si="148"/>
        <v>96.06179017435086</v>
      </c>
      <c r="H349" s="74">
        <f t="shared" si="149"/>
        <v>46.34369565210348</v>
      </c>
      <c r="I349" s="74">
        <f t="shared" si="140"/>
        <v>67.39649223857965</v>
      </c>
      <c r="J349" s="74">
        <f t="shared" si="142"/>
        <v>46.34369565210348</v>
      </c>
      <c r="K349" s="74">
        <f t="shared" si="141"/>
        <v>50.18545319019432</v>
      </c>
      <c r="L349" s="74">
        <f t="shared" si="150"/>
        <v>1.7399199098638252</v>
      </c>
      <c r="M349" s="74">
        <f t="shared" si="143"/>
        <v>3.235690820800044</v>
      </c>
      <c r="N349" s="74">
        <f t="shared" si="151"/>
        <v>0.8848122620472225</v>
      </c>
      <c r="O349" s="74">
        <f t="shared" si="152"/>
        <v>73.65932979707529</v>
      </c>
      <c r="P349" s="74">
        <f t="shared" si="153"/>
        <v>0.2969399684471173</v>
      </c>
    </row>
    <row r="350" spans="2:16" ht="13.5">
      <c r="B350" s="74">
        <f t="shared" si="144"/>
        <v>43.41772298067927</v>
      </c>
      <c r="C350" s="70">
        <f t="shared" si="145"/>
        <v>57.601</v>
      </c>
      <c r="D350" s="70">
        <f>D319</f>
        <v>67</v>
      </c>
      <c r="E350" s="74">
        <f t="shared" si="146"/>
        <v>1.0053271024412536</v>
      </c>
      <c r="F350" s="74">
        <f t="shared" si="147"/>
        <v>1.1693705988362006</v>
      </c>
      <c r="G350" s="74">
        <f t="shared" si="148"/>
        <v>96.06179017435086</v>
      </c>
      <c r="H350" s="74">
        <f t="shared" si="149"/>
        <v>44.602388153158174</v>
      </c>
      <c r="I350" s="74">
        <f t="shared" si="140"/>
        <v>64.25487530372895</v>
      </c>
      <c r="J350" s="74">
        <f t="shared" si="142"/>
        <v>44.602388153158174</v>
      </c>
      <c r="K350" s="74">
        <f t="shared" si="141"/>
        <v>48.95319221244529</v>
      </c>
      <c r="L350" s="74">
        <f t="shared" si="150"/>
        <v>1.7573732023837683</v>
      </c>
      <c r="M350" s="74">
        <f t="shared" si="143"/>
        <v>3.2458580998131934</v>
      </c>
      <c r="N350" s="74">
        <f t="shared" si="151"/>
        <v>0.8329684582310031</v>
      </c>
      <c r="O350" s="74">
        <f t="shared" si="152"/>
        <v>72.1446313408328</v>
      </c>
      <c r="P350" s="74">
        <f t="shared" si="153"/>
        <v>0.29123616647979655</v>
      </c>
    </row>
    <row r="351" spans="2:16" ht="13.5">
      <c r="B351" s="74">
        <f t="shared" si="144"/>
        <v>43.509273684004846</v>
      </c>
      <c r="C351" s="70">
        <f t="shared" si="145"/>
        <v>57.601</v>
      </c>
      <c r="D351" s="70">
        <f aca="true" t="shared" si="154" ref="D351:D404">D320</f>
        <v>68</v>
      </c>
      <c r="E351" s="74">
        <f t="shared" si="146"/>
        <v>1.0053271024412536</v>
      </c>
      <c r="F351" s="74">
        <f t="shared" si="147"/>
        <v>1.1868238913561442</v>
      </c>
      <c r="G351" s="74">
        <f t="shared" si="148"/>
        <v>96.06179017435086</v>
      </c>
      <c r="H351" s="74">
        <f t="shared" si="149"/>
        <v>42.84956737955771</v>
      </c>
      <c r="I351" s="74">
        <f t="shared" si="140"/>
        <v>61.15946993579685</v>
      </c>
      <c r="J351" s="74">
        <f t="shared" si="142"/>
        <v>42.84956737955771</v>
      </c>
      <c r="K351" s="74">
        <f t="shared" si="141"/>
        <v>47.739057158962424</v>
      </c>
      <c r="L351" s="74">
        <f t="shared" si="150"/>
        <v>1.7748264949037118</v>
      </c>
      <c r="M351" s="74">
        <f t="shared" si="143"/>
        <v>3.2570847429771757</v>
      </c>
      <c r="N351" s="74">
        <f t="shared" si="151"/>
        <v>0.7807818706428962</v>
      </c>
      <c r="O351" s="74">
        <f t="shared" si="152"/>
        <v>70.67077513822075</v>
      </c>
      <c r="P351" s="74">
        <f t="shared" si="153"/>
        <v>0.2869590777488996</v>
      </c>
    </row>
    <row r="352" spans="2:16" ht="13.5">
      <c r="B352" s="74">
        <f t="shared" si="144"/>
        <v>43.57101033834043</v>
      </c>
      <c r="C352" s="70">
        <f t="shared" si="145"/>
        <v>57.601</v>
      </c>
      <c r="D352" s="70">
        <f t="shared" si="154"/>
        <v>69</v>
      </c>
      <c r="E352" s="74">
        <f t="shared" si="146"/>
        <v>1.0053271024412536</v>
      </c>
      <c r="F352" s="74">
        <f t="shared" si="147"/>
        <v>1.2042771838760873</v>
      </c>
      <c r="G352" s="74">
        <f t="shared" si="148"/>
        <v>96.06179017435086</v>
      </c>
      <c r="H352" s="74">
        <f t="shared" si="149"/>
        <v>41.08403968726031</v>
      </c>
      <c r="I352" s="74">
        <f t="shared" si="140"/>
        <v>58.107418303486085</v>
      </c>
      <c r="J352" s="74">
        <f t="shared" si="142"/>
        <v>41.08403968726031</v>
      </c>
      <c r="K352" s="74">
        <f t="shared" si="141"/>
        <v>46.54192708022782</v>
      </c>
      <c r="L352" s="74">
        <f t="shared" si="150"/>
        <v>1.792279787423655</v>
      </c>
      <c r="M352" s="74">
        <f t="shared" si="143"/>
        <v>3.2693886601519666</v>
      </c>
      <c r="N352" s="74">
        <f t="shared" si="151"/>
        <v>0.7282169610177962</v>
      </c>
      <c r="O352" s="74">
        <f t="shared" si="152"/>
        <v>69.23502075890933</v>
      </c>
      <c r="P352" s="74">
        <f t="shared" si="153"/>
        <v>0.284078908506458</v>
      </c>
    </row>
    <row r="353" spans="2:16" ht="13.5">
      <c r="B353" s="74">
        <f aca="true" t="shared" si="155" ref="B353:B404">O353*SIN(F353-F$4)</f>
        <v>43.60333360165805</v>
      </c>
      <c r="C353" s="70">
        <f t="shared" si="145"/>
        <v>57.601</v>
      </c>
      <c r="D353" s="70">
        <f t="shared" si="154"/>
        <v>70</v>
      </c>
      <c r="E353" s="74">
        <f t="shared" si="146"/>
        <v>1.0053271024412536</v>
      </c>
      <c r="F353" s="74">
        <f t="shared" si="147"/>
        <v>1.2217304763960306</v>
      </c>
      <c r="G353" s="74">
        <f t="shared" si="148"/>
        <v>96.06179017435086</v>
      </c>
      <c r="H353" s="74">
        <f t="shared" si="149"/>
        <v>39.30457845389725</v>
      </c>
      <c r="I353" s="74">
        <f t="shared" si="140"/>
        <v>55.09599421204639</v>
      </c>
      <c r="J353" s="74">
        <f t="shared" si="142"/>
        <v>39.30457845389725</v>
      </c>
      <c r="K353" s="74">
        <f t="shared" si="141"/>
        <v>45.360732659555765</v>
      </c>
      <c r="L353" s="74">
        <f t="shared" si="150"/>
        <v>1.809733079943598</v>
      </c>
      <c r="M353" s="74">
        <f t="shared" si="143"/>
        <v>3.2827896493451227</v>
      </c>
      <c r="N353" s="74">
        <f t="shared" si="151"/>
        <v>0.6752372092296027</v>
      </c>
      <c r="O353" s="74">
        <f t="shared" si="152"/>
        <v>67.83474501464268</v>
      </c>
      <c r="P353" s="74">
        <f t="shared" si="153"/>
        <v>0.28257226846414896</v>
      </c>
    </row>
    <row r="354" spans="2:16" ht="13.5">
      <c r="B354" s="74">
        <f t="shared" si="155"/>
        <v>43.60655714913109</v>
      </c>
      <c r="C354" s="70">
        <f t="shared" si="145"/>
        <v>57.601</v>
      </c>
      <c r="D354" s="70">
        <f t="shared" si="154"/>
        <v>71</v>
      </c>
      <c r="E354" s="74">
        <f t="shared" si="146"/>
        <v>1.0053271024412536</v>
      </c>
      <c r="F354" s="74">
        <f t="shared" si="147"/>
        <v>1.239183768915974</v>
      </c>
      <c r="G354" s="74">
        <f t="shared" si="148"/>
        <v>96.06179017435086</v>
      </c>
      <c r="H354" s="74">
        <f t="shared" si="149"/>
        <v>37.50992049257642</v>
      </c>
      <c r="I354" s="74">
        <f t="shared" si="140"/>
        <v>52.12259246172309</v>
      </c>
      <c r="J354" s="74">
        <f t="shared" si="142"/>
        <v>37.50992049257642</v>
      </c>
      <c r="K354" s="74">
        <f t="shared" si="141"/>
        <v>44.19445203907388</v>
      </c>
      <c r="L354" s="74">
        <f t="shared" si="150"/>
        <v>1.8271863724635415</v>
      </c>
      <c r="M354" s="74">
        <f t="shared" si="143"/>
        <v>3.297309476365921</v>
      </c>
      <c r="N354" s="74">
        <f t="shared" si="151"/>
        <v>0.6218050065196917</v>
      </c>
      <c r="O354" s="74">
        <f t="shared" si="152"/>
        <v>66.46742933517656</v>
      </c>
      <c r="P354" s="74">
        <f t="shared" si="153"/>
        <v>0.28242206377482765</v>
      </c>
    </row>
    <row r="355" spans="2:16" ht="13.5">
      <c r="B355" s="74">
        <f t="shared" si="155"/>
        <v>43.5809099301086</v>
      </c>
      <c r="C355" s="70">
        <f t="shared" si="145"/>
        <v>57.601</v>
      </c>
      <c r="D355" s="70">
        <f t="shared" si="154"/>
        <v>72</v>
      </c>
      <c r="E355" s="74">
        <f t="shared" si="146"/>
        <v>1.0053271024412536</v>
      </c>
      <c r="F355" s="74">
        <f t="shared" si="147"/>
        <v>1.2566370614359172</v>
      </c>
      <c r="G355" s="74">
        <f t="shared" si="148"/>
        <v>96.06179017435086</v>
      </c>
      <c r="H355" s="74">
        <f t="shared" si="149"/>
        <v>35.698762256707205</v>
      </c>
      <c r="I355" s="74">
        <f t="shared" si="140"/>
        <v>49.18471901725621</v>
      </c>
      <c r="J355" s="74">
        <f t="shared" si="142"/>
        <v>35.698762256707205</v>
      </c>
      <c r="K355" s="74">
        <f t="shared" si="141"/>
        <v>43.042106963828815</v>
      </c>
      <c r="L355" s="74">
        <f t="shared" si="150"/>
        <v>1.8446396649834846</v>
      </c>
      <c r="M355" s="74">
        <f t="shared" si="143"/>
        <v>3.3129719635610875</v>
      </c>
      <c r="N355" s="74">
        <f t="shared" si="151"/>
        <v>0.5678815425034818</v>
      </c>
      <c r="O355" s="74">
        <f t="shared" si="152"/>
        <v>65.13064791230896</v>
      </c>
      <c r="P355" s="74">
        <f t="shared" si="153"/>
        <v>0.28361737545878435</v>
      </c>
    </row>
    <row r="356" spans="2:16" ht="13.5">
      <c r="B356" s="74">
        <f t="shared" si="155"/>
        <v>43.52653786996178</v>
      </c>
      <c r="C356" s="70">
        <f t="shared" si="145"/>
        <v>57.601</v>
      </c>
      <c r="D356" s="70">
        <f t="shared" si="154"/>
        <v>73</v>
      </c>
      <c r="E356" s="74">
        <f t="shared" si="146"/>
        <v>1.0053271024412536</v>
      </c>
      <c r="F356" s="74">
        <f t="shared" si="147"/>
        <v>1.2740903539558606</v>
      </c>
      <c r="G356" s="74">
        <f t="shared" si="148"/>
        <v>96.06179017435086</v>
      </c>
      <c r="H356" s="74">
        <f t="shared" si="149"/>
        <v>33.86975581055276</v>
      </c>
      <c r="I356" s="74">
        <f t="shared" si="140"/>
        <v>46.27998190580472</v>
      </c>
      <c r="J356" s="74">
        <f t="shared" si="142"/>
        <v>33.86975581055276</v>
      </c>
      <c r="K356" s="74">
        <f t="shared" si="141"/>
        <v>41.90275921160796</v>
      </c>
      <c r="L356" s="74">
        <f t="shared" si="150"/>
        <v>1.8620929575034282</v>
      </c>
      <c r="M356" s="74">
        <f t="shared" si="143"/>
        <v>3.3298030883232532</v>
      </c>
      <c r="N356" s="74">
        <f t="shared" si="151"/>
        <v>0.5134266852020202</v>
      </c>
      <c r="O356" s="74">
        <f t="shared" si="152"/>
        <v>63.82205650167985</v>
      </c>
      <c r="P356" s="74">
        <f t="shared" si="153"/>
        <v>0.2861533284843079</v>
      </c>
    </row>
    <row r="357" spans="2:16" ht="13.5">
      <c r="B357" s="74">
        <f t="shared" si="155"/>
        <v>43.443505037251114</v>
      </c>
      <c r="C357" s="70">
        <f t="shared" si="145"/>
        <v>57.601</v>
      </c>
      <c r="D357" s="70">
        <f t="shared" si="154"/>
        <v>74</v>
      </c>
      <c r="E357" s="74">
        <f t="shared" si="146"/>
        <v>1.0053271024412536</v>
      </c>
      <c r="F357" s="74">
        <f t="shared" si="147"/>
        <v>1.2915436464758039</v>
      </c>
      <c r="G357" s="74">
        <f t="shared" si="148"/>
        <v>96.06179017435086</v>
      </c>
      <c r="H357" s="74">
        <f t="shared" si="149"/>
        <v>32.02150453781869</v>
      </c>
      <c r="I357" s="74">
        <f t="shared" si="140"/>
        <v>43.40608276923955</v>
      </c>
      <c r="J357" s="74">
        <f t="shared" si="142"/>
        <v>32.02150453781869</v>
      </c>
      <c r="K357" s="74">
        <f t="shared" si="141"/>
        <v>40.77550727942922</v>
      </c>
      <c r="L357" s="74">
        <f t="shared" si="150"/>
        <v>1.8795462500233713</v>
      </c>
      <c r="M357" s="74">
        <f t="shared" si="143"/>
        <v>3.347831092152982</v>
      </c>
      <c r="N357" s="74">
        <f t="shared" si="151"/>
        <v>0.4583988532741495</v>
      </c>
      <c r="O357" s="74">
        <f t="shared" si="152"/>
        <v>62.53938178063802</v>
      </c>
      <c r="P357" s="74">
        <f t="shared" si="153"/>
        <v>0.2900309530490649</v>
      </c>
    </row>
    <row r="358" spans="2:16" ht="13.5">
      <c r="B358" s="74">
        <f t="shared" si="155"/>
        <v>43.3317942904677</v>
      </c>
      <c r="C358" s="70">
        <f t="shared" si="145"/>
        <v>57.601</v>
      </c>
      <c r="D358" s="70">
        <f t="shared" si="154"/>
        <v>75</v>
      </c>
      <c r="E358" s="74">
        <f t="shared" si="146"/>
        <v>1.0053271024412536</v>
      </c>
      <c r="F358" s="74">
        <f t="shared" si="147"/>
        <v>1.3089969389957472</v>
      </c>
      <c r="G358" s="74">
        <f t="shared" si="148"/>
        <v>96.06179017435086</v>
      </c>
      <c r="H358" s="74">
        <f t="shared" si="149"/>
        <v>30.152558557855457</v>
      </c>
      <c r="I358" s="74">
        <f t="shared" si="140"/>
        <v>40.560809004261195</v>
      </c>
      <c r="J358" s="74">
        <f t="shared" si="142"/>
        <v>30.152558557855457</v>
      </c>
      <c r="K358" s="74">
        <f t="shared" si="141"/>
        <v>39.65948330059791</v>
      </c>
      <c r="L358" s="74">
        <f t="shared" si="150"/>
        <v>1.8969995425433148</v>
      </c>
      <c r="M358" s="74">
        <f t="shared" si="143"/>
        <v>3.3670866011551928</v>
      </c>
      <c r="N358" s="74">
        <f t="shared" si="151"/>
        <v>0.4027548795434824</v>
      </c>
      <c r="O358" s="74">
        <f t="shared" si="152"/>
        <v>61.280411167540464</v>
      </c>
      <c r="P358" s="74">
        <f t="shared" si="153"/>
        <v>0.29525703627213035</v>
      </c>
    </row>
    <row r="359" spans="2:16" ht="13.5">
      <c r="B359" s="74">
        <f t="shared" si="155"/>
        <v>43.19130741267277</v>
      </c>
      <c r="C359" s="70">
        <f t="shared" si="145"/>
        <v>57.601</v>
      </c>
      <c r="D359" s="70">
        <f t="shared" si="154"/>
        <v>76</v>
      </c>
      <c r="E359" s="74">
        <f t="shared" si="146"/>
        <v>1.0053271024412536</v>
      </c>
      <c r="F359" s="74">
        <f t="shared" si="147"/>
        <v>1.3264502315156903</v>
      </c>
      <c r="G359" s="74">
        <f t="shared" si="148"/>
        <v>96.06179017435086</v>
      </c>
      <c r="H359" s="74">
        <f t="shared" si="149"/>
        <v>28.2614098159386</v>
      </c>
      <c r="I359" s="74">
        <f t="shared" si="140"/>
        <v>37.7420264303865</v>
      </c>
      <c r="J359" s="74">
        <f t="shared" si="142"/>
        <v>28.2614098159386</v>
      </c>
      <c r="K359" s="74">
        <f t="shared" si="141"/>
        <v>38.55385016881386</v>
      </c>
      <c r="L359" s="74">
        <f t="shared" si="150"/>
        <v>1.914452835063258</v>
      </c>
      <c r="M359" s="74">
        <f>J$18/SIN(L359)*SIN(J$19)</f>
        <v>3.3876027589624966</v>
      </c>
      <c r="N359" s="74">
        <f t="shared" si="151"/>
        <v>0.34644986482172163</v>
      </c>
      <c r="O359" s="74">
        <f t="shared" si="152"/>
        <v>60.042983013506486</v>
      </c>
      <c r="P359" s="74">
        <f t="shared" si="153"/>
        <v>0.30184395932841973</v>
      </c>
    </row>
    <row r="360" spans="2:16" ht="13.5">
      <c r="B360" s="74">
        <f t="shared" si="155"/>
        <v>43.02186473658604</v>
      </c>
      <c r="C360" s="70">
        <f t="shared" si="145"/>
        <v>57.601</v>
      </c>
      <c r="D360" s="70">
        <f t="shared" si="154"/>
        <v>77</v>
      </c>
      <c r="E360" s="74">
        <f t="shared" si="146"/>
        <v>1.0053271024412536</v>
      </c>
      <c r="F360" s="74">
        <f t="shared" si="147"/>
        <v>1.3439035240356338</v>
      </c>
      <c r="G360" s="74">
        <f t="shared" si="148"/>
        <v>96.06179017435086</v>
      </c>
      <c r="H360" s="74">
        <f t="shared" si="149"/>
        <v>26.34648681054474</v>
      </c>
      <c r="I360" s="74">
        <f t="shared" si="140"/>
        <v>34.9476724316321</v>
      </c>
      <c r="J360" s="74">
        <f aca="true" t="shared" si="156" ref="J360:J369">0.5*$J$18*N360*$D$3+$G$18</f>
        <v>26.34648681054474</v>
      </c>
      <c r="K360" s="74">
        <f t="shared" si="141"/>
        <v>37.4577988480803</v>
      </c>
      <c r="L360" s="74">
        <f t="shared" si="150"/>
        <v>1.9319061275832015</v>
      </c>
      <c r="M360" s="74">
        <f aca="true" t="shared" si="157" ref="M360:M369">J$18/SIN(L360)*SIN(J$19)</f>
        <v>3.409415373203253</v>
      </c>
      <c r="N360" s="74">
        <f t="shared" si="151"/>
        <v>0.2894370209242849</v>
      </c>
      <c r="O360" s="74">
        <f t="shared" si="152"/>
        <v>58.82497708200337</v>
      </c>
      <c r="P360" s="74">
        <f t="shared" si="153"/>
        <v>0.30980951189109646</v>
      </c>
    </row>
    <row r="361" spans="2:16" ht="13.5">
      <c r="B361" s="74">
        <f t="shared" si="155"/>
        <v>42.8232042569564</v>
      </c>
      <c r="C361" s="70">
        <f t="shared" si="145"/>
        <v>57.601</v>
      </c>
      <c r="D361" s="70">
        <f t="shared" si="154"/>
        <v>78</v>
      </c>
      <c r="E361" s="74">
        <f t="shared" si="146"/>
        <v>1.0053271024412536</v>
      </c>
      <c r="F361" s="74">
        <f t="shared" si="147"/>
        <v>1.361356816555577</v>
      </c>
      <c r="G361" s="74">
        <f t="shared" si="148"/>
        <v>96.06179017435086</v>
      </c>
      <c r="H361" s="74">
        <f t="shared" si="149"/>
        <v>24.40614891650218</v>
      </c>
      <c r="I361" s="74">
        <f t="shared" si="140"/>
        <v>32.17574952279962</v>
      </c>
      <c r="J361" s="74">
        <f t="shared" si="156"/>
        <v>24.40614891650218</v>
      </c>
      <c r="K361" s="74">
        <f t="shared" si="141"/>
        <v>36.370545849157565</v>
      </c>
      <c r="L361" s="74">
        <f t="shared" si="150"/>
        <v>1.9493594201031446</v>
      </c>
      <c r="M361" s="74">
        <f t="shared" si="157"/>
        <v>3.4325630767730444</v>
      </c>
      <c r="N361" s="74">
        <f t="shared" si="151"/>
        <v>0.23166750165393885</v>
      </c>
      <c r="O361" s="74">
        <f t="shared" si="152"/>
        <v>57.624305234779634</v>
      </c>
      <c r="P361" s="74">
        <f t="shared" si="153"/>
        <v>0.31917667247097037</v>
      </c>
    </row>
    <row r="362" spans="2:16" ht="13.5">
      <c r="B362" s="74">
        <f t="shared" si="155"/>
        <v>42.59498022128346</v>
      </c>
      <c r="C362" s="70">
        <f t="shared" si="145"/>
        <v>57.601</v>
      </c>
      <c r="D362" s="70">
        <f t="shared" si="154"/>
        <v>79</v>
      </c>
      <c r="E362" s="74">
        <f t="shared" si="146"/>
        <v>1.0053271024412536</v>
      </c>
      <c r="F362" s="74">
        <f t="shared" si="147"/>
        <v>1.3788101090755203</v>
      </c>
      <c r="G362" s="74">
        <f t="shared" si="148"/>
        <v>96.06179017435086</v>
      </c>
      <c r="H362" s="74">
        <f t="shared" si="149"/>
        <v>22.438680258289008</v>
      </c>
      <c r="I362" s="74">
        <f t="shared" si="140"/>
        <v>29.424319295722153</v>
      </c>
      <c r="J362" s="74">
        <f t="shared" si="156"/>
        <v>22.438680258289008</v>
      </c>
      <c r="K362" s="74">
        <f t="shared" si="141"/>
        <v>35.29133085505204</v>
      </c>
      <c r="L362" s="74">
        <f t="shared" si="150"/>
        <v>1.9668127126230877</v>
      </c>
      <c r="M362" s="74">
        <f t="shared" si="157"/>
        <v>3.4570875053272205</v>
      </c>
      <c r="N362" s="74">
        <f t="shared" si="151"/>
        <v>0.17309022039101127</v>
      </c>
      <c r="O362" s="74">
        <f t="shared" si="152"/>
        <v>56.43890224463621</v>
      </c>
      <c r="P362" s="74">
        <f t="shared" si="153"/>
        <v>0.32997333976245463</v>
      </c>
    </row>
    <row r="363" spans="2:16" ht="13.5">
      <c r="B363" s="74">
        <f t="shared" si="155"/>
        <v>42.3367611840453</v>
      </c>
      <c r="C363" s="70">
        <f t="shared" si="145"/>
        <v>57.601</v>
      </c>
      <c r="D363" s="70">
        <f t="shared" si="154"/>
        <v>80</v>
      </c>
      <c r="E363" s="74">
        <f t="shared" si="146"/>
        <v>1.0053271024412536</v>
      </c>
      <c r="F363" s="74">
        <f t="shared" si="147"/>
        <v>1.3962634015954636</v>
      </c>
      <c r="G363" s="74">
        <f t="shared" si="148"/>
        <v>96.06179017435086</v>
      </c>
      <c r="H363" s="74">
        <f t="shared" si="149"/>
        <v>20.442283082501756</v>
      </c>
      <c r="I363" s="74">
        <f t="shared" si="140"/>
        <v>26.691496704743898</v>
      </c>
      <c r="J363" s="74">
        <f t="shared" si="156"/>
        <v>20.442283082501756</v>
      </c>
      <c r="K363" s="74">
        <f t="shared" si="141"/>
        <v>34.21941447956511</v>
      </c>
      <c r="L363" s="74">
        <f t="shared" si="150"/>
        <v>1.9842660051430312</v>
      </c>
      <c r="M363" s="74">
        <f t="shared" si="157"/>
        <v>3.483033492591896</v>
      </c>
      <c r="N363" s="74">
        <f t="shared" si="151"/>
        <v>0.1136516527724497</v>
      </c>
      <c r="O363" s="74">
        <f t="shared" si="152"/>
        <v>55.26671665637261</v>
      </c>
      <c r="P363" s="74">
        <f t="shared" si="153"/>
        <v>0.3422319963704534</v>
      </c>
    </row>
    <row r="364" spans="2:16" ht="13.5">
      <c r="B364" s="74">
        <f t="shared" si="155"/>
        <v>42.04802750341883</v>
      </c>
      <c r="C364" s="70">
        <f t="shared" si="145"/>
        <v>57.601</v>
      </c>
      <c r="D364" s="70">
        <f t="shared" si="154"/>
        <v>81</v>
      </c>
      <c r="E364" s="74">
        <f t="shared" si="146"/>
        <v>1.0053271024412536</v>
      </c>
      <c r="F364" s="74">
        <f t="shared" si="147"/>
        <v>1.413716694115407</v>
      </c>
      <c r="G364" s="74">
        <f t="shared" si="148"/>
        <v>96.06179017435086</v>
      </c>
      <c r="H364" s="74">
        <f t="shared" si="149"/>
        <v>18.415070572518374</v>
      </c>
      <c r="I364" s="74">
        <f t="shared" si="140"/>
        <v>23.97544465412669</v>
      </c>
      <c r="J364" s="74">
        <f t="shared" si="156"/>
        <v>18.415070572518374</v>
      </c>
      <c r="K364" s="74">
        <f t="shared" si="141"/>
        <v>33.15407614426935</v>
      </c>
      <c r="L364" s="74">
        <f t="shared" si="150"/>
        <v>2.0017192976629743</v>
      </c>
      <c r="M364" s="74">
        <f t="shared" si="157"/>
        <v>3.510449285294637</v>
      </c>
      <c r="N364" s="74">
        <f t="shared" si="151"/>
        <v>0.053295622763378</v>
      </c>
      <c r="O364" s="74">
        <f t="shared" si="152"/>
        <v>54.105701616963174</v>
      </c>
      <c r="P364" s="74">
        <f t="shared" si="153"/>
        <v>0.3559892823038131</v>
      </c>
    </row>
    <row r="365" spans="2:16" ht="13.5">
      <c r="B365" s="74">
        <f t="shared" si="155"/>
        <v>43.55417377557094</v>
      </c>
      <c r="C365" s="70">
        <f t="shared" si="145"/>
        <v>57.601</v>
      </c>
      <c r="D365" s="70">
        <f t="shared" si="154"/>
        <v>82</v>
      </c>
      <c r="E365" s="74">
        <f t="shared" si="146"/>
        <v>1.0053271024412536</v>
      </c>
      <c r="F365" s="74">
        <f t="shared" si="147"/>
        <v>1.43116998663535</v>
      </c>
      <c r="G365" s="74">
        <f t="shared" si="148"/>
        <v>96.06179017435086</v>
      </c>
      <c r="H365" s="74">
        <f t="shared" si="149"/>
        <v>21.274368853074545</v>
      </c>
      <c r="I365" s="74">
        <f t="shared" si="140"/>
        <v>21.274368853074545</v>
      </c>
      <c r="J365" s="74">
        <f t="shared" si="156"/>
        <v>16.355059041525283</v>
      </c>
      <c r="K365" s="74">
        <f t="shared" si="141"/>
        <v>32.09461206045451</v>
      </c>
      <c r="L365" s="74">
        <f t="shared" si="150"/>
        <v>2.0191725901829174</v>
      </c>
      <c r="M365" s="74">
        <f t="shared" si="157"/>
        <v>3.539386779747792</v>
      </c>
      <c r="N365" s="74">
        <f t="shared" si="151"/>
        <v>-0.008036929779261789</v>
      </c>
      <c r="O365" s="74">
        <f t="shared" si="152"/>
        <v>55.27103986363596</v>
      </c>
      <c r="P365" s="74">
        <f t="shared" si="153"/>
        <v>0.2848640488929676</v>
      </c>
    </row>
    <row r="366" spans="2:16" ht="13.5">
      <c r="B366" s="74">
        <f t="shared" si="155"/>
        <v>42.99908541604768</v>
      </c>
      <c r="C366" s="70">
        <f t="shared" si="145"/>
        <v>57.601</v>
      </c>
      <c r="D366" s="70">
        <f t="shared" si="154"/>
        <v>83</v>
      </c>
      <c r="E366" s="74">
        <f t="shared" si="146"/>
        <v>1.0053271024412536</v>
      </c>
      <c r="F366" s="74">
        <f t="shared" si="147"/>
        <v>1.4486232791552935</v>
      </c>
      <c r="G366" s="74">
        <f t="shared" si="148"/>
        <v>96.06179017435086</v>
      </c>
      <c r="H366" s="74">
        <f t="shared" si="149"/>
        <v>18.586512906677186</v>
      </c>
      <c r="I366" s="74">
        <f t="shared" si="140"/>
        <v>18.586512906677186</v>
      </c>
      <c r="J366" s="74">
        <f t="shared" si="156"/>
        <v>14.26015943222883</v>
      </c>
      <c r="K366" s="74">
        <f t="shared" si="141"/>
        <v>31.040333303609955</v>
      </c>
      <c r="L366" s="74">
        <f t="shared" si="150"/>
        <v>2.036625882702861</v>
      </c>
      <c r="M366" s="74">
        <f t="shared" si="157"/>
        <v>3.569901782381449</v>
      </c>
      <c r="N366" s="74">
        <f t="shared" si="151"/>
        <v>-0.0704082021850964</v>
      </c>
      <c r="O366" s="74">
        <f t="shared" si="152"/>
        <v>53.840688117538626</v>
      </c>
      <c r="P366" s="74">
        <f t="shared" si="153"/>
        <v>0.31088207994196926</v>
      </c>
    </row>
    <row r="367" spans="2:16" ht="13.5">
      <c r="B367" s="74">
        <f t="shared" si="155"/>
        <v>42.42510849989543</v>
      </c>
      <c r="C367" s="70">
        <f t="shared" si="145"/>
        <v>57.601</v>
      </c>
      <c r="D367" s="70">
        <f t="shared" si="154"/>
        <v>84</v>
      </c>
      <c r="E367" s="74">
        <f t="shared" si="146"/>
        <v>1.0053271024412536</v>
      </c>
      <c r="F367" s="74">
        <f t="shared" si="147"/>
        <v>1.4660765716752369</v>
      </c>
      <c r="G367" s="74">
        <f t="shared" si="148"/>
        <v>96.06179017435086</v>
      </c>
      <c r="H367" s="74">
        <f t="shared" si="149"/>
        <v>15.910153613341771</v>
      </c>
      <c r="I367" s="74">
        <f t="shared" si="140"/>
        <v>15.910153613341771</v>
      </c>
      <c r="J367" s="74">
        <f t="shared" si="156"/>
        <v>12.128168042573405</v>
      </c>
      <c r="K367" s="74">
        <f t="shared" si="141"/>
        <v>29.990563968899536</v>
      </c>
      <c r="L367" s="74">
        <f t="shared" si="150"/>
        <v>2.0540791752228045</v>
      </c>
      <c r="M367" s="74">
        <f t="shared" si="157"/>
        <v>3.602054296824678</v>
      </c>
      <c r="N367" s="74">
        <f t="shared" si="151"/>
        <v>-0.1338838050927462</v>
      </c>
      <c r="O367" s="74">
        <f t="shared" si="152"/>
        <v>52.44031805867488</v>
      </c>
      <c r="P367" s="74">
        <f t="shared" si="153"/>
        <v>0.33803286707832375</v>
      </c>
    </row>
    <row r="368" spans="2:16" ht="13.5">
      <c r="B368" s="74">
        <f t="shared" si="155"/>
        <v>41.83218001362014</v>
      </c>
      <c r="C368" s="70">
        <f t="shared" si="145"/>
        <v>57.601</v>
      </c>
      <c r="D368" s="70">
        <f t="shared" si="154"/>
        <v>85</v>
      </c>
      <c r="E368" s="74">
        <f t="shared" si="146"/>
        <v>1.0053271024412536</v>
      </c>
      <c r="F368" s="74">
        <f t="shared" si="147"/>
        <v>1.4835298641951802</v>
      </c>
      <c r="G368" s="74">
        <f t="shared" si="148"/>
        <v>96.06179017435086</v>
      </c>
      <c r="H368" s="74">
        <f t="shared" si="149"/>
        <v>13.24359644123674</v>
      </c>
      <c r="I368" s="74">
        <f t="shared" si="140"/>
        <v>13.24359644123674</v>
      </c>
      <c r="J368" s="74">
        <f t="shared" si="156"/>
        <v>9.956756386451493</v>
      </c>
      <c r="K368" s="74">
        <f t="shared" si="141"/>
        <v>28.944639396851734</v>
      </c>
      <c r="L368" s="74">
        <f t="shared" si="150"/>
        <v>2.0715324677427476</v>
      </c>
      <c r="M368" s="74">
        <f t="shared" si="157"/>
        <v>3.6359088404790922</v>
      </c>
      <c r="N368" s="74">
        <f t="shared" si="151"/>
        <v>-0.1985330643260647</v>
      </c>
      <c r="O368" s="74">
        <f t="shared" si="152"/>
        <v>51.06766235312232</v>
      </c>
      <c r="P368" s="74">
        <f t="shared" si="153"/>
        <v>0.3663053987505575</v>
      </c>
    </row>
    <row r="369" spans="2:16" ht="13.5">
      <c r="B369" s="74">
        <f t="shared" si="155"/>
        <v>41.220187080734526</v>
      </c>
      <c r="C369" s="70">
        <f t="shared" si="145"/>
        <v>57.601</v>
      </c>
      <c r="D369" s="70">
        <f t="shared" si="154"/>
        <v>86</v>
      </c>
      <c r="E369" s="74">
        <f t="shared" si="146"/>
        <v>1.0053271024412536</v>
      </c>
      <c r="F369" s="74">
        <f t="shared" si="147"/>
        <v>1.5009831567151233</v>
      </c>
      <c r="G369" s="74">
        <f t="shared" si="148"/>
        <v>96.06179017435086</v>
      </c>
      <c r="H369" s="74">
        <f t="shared" si="149"/>
        <v>10.585171157948913</v>
      </c>
      <c r="I369" s="74">
        <f t="shared" si="140"/>
        <v>10.585171157948913</v>
      </c>
      <c r="J369" s="74">
        <f t="shared" si="156"/>
        <v>7.743460086500027</v>
      </c>
      <c r="K369" s="74">
        <f t="shared" si="141"/>
        <v>27.90190445914594</v>
      </c>
      <c r="L369" s="74">
        <f t="shared" si="150"/>
        <v>2.0889857602626907</v>
      </c>
      <c r="M369" s="74">
        <f t="shared" si="157"/>
        <v>3.6715347939252476</v>
      </c>
      <c r="N369" s="74">
        <f t="shared" si="151"/>
        <v>-0.26442935158799213</v>
      </c>
      <c r="O369" s="74">
        <f t="shared" si="152"/>
        <v>49.720529497470785</v>
      </c>
      <c r="P369" s="74">
        <f t="shared" si="153"/>
        <v>0.39568209263343346</v>
      </c>
    </row>
    <row r="370" spans="2:16" ht="13.5">
      <c r="B370" s="74">
        <f t="shared" si="155"/>
        <v>40.58896764053016</v>
      </c>
      <c r="C370" s="70">
        <f t="shared" si="145"/>
        <v>57.601</v>
      </c>
      <c r="D370" s="70">
        <f t="shared" si="154"/>
        <v>87</v>
      </c>
      <c r="E370" s="74">
        <f t="shared" si="146"/>
        <v>1.0053271024412536</v>
      </c>
      <c r="F370" s="74">
        <f t="shared" si="147"/>
        <v>1.5184364492350666</v>
      </c>
      <c r="G370" s="74">
        <f t="shared" si="148"/>
        <v>96.06179017435086</v>
      </c>
      <c r="H370" s="74">
        <f t="shared" si="149"/>
        <v>7.933227588970383</v>
      </c>
      <c r="I370" s="74">
        <f aca="true" t="shared" si="158" ref="I370:I390">(0.5*$D$3*$D$9+$D$6)*$D$9/TAN(F370)</f>
        <v>7.933227588970383</v>
      </c>
      <c r="J370" s="74">
        <f aca="true" t="shared" si="159" ref="J370:J404">0.5*$J$18*N370*$D$3+$G$18</f>
        <v>5.4856666823648865</v>
      </c>
      <c r="K370" s="74">
        <f aca="true" t="shared" si="160" ref="K370:K390">0.5*$D$3*$D$8^2*(1/TAN(F370)-1/TAN($D$16))+$G$19</f>
        <v>26.861711894930572</v>
      </c>
      <c r="L370" s="74">
        <f t="shared" si="150"/>
        <v>2.106439052782634</v>
      </c>
      <c r="M370" s="74">
        <f aca="true" t="shared" si="161" ref="M370:M404">J$18/SIN(L370)*SIN(J$19)</f>
        <v>3.7090067869585464</v>
      </c>
      <c r="N370" s="74">
        <f t="shared" si="151"/>
        <v>-0.3316504474440855</v>
      </c>
      <c r="O370" s="74">
        <f t="shared" si="152"/>
        <v>48.39679510867426</v>
      </c>
      <c r="P370" s="74">
        <f t="shared" si="153"/>
        <v>0.4261378591305054</v>
      </c>
    </row>
    <row r="371" spans="2:16" ht="13.5">
      <c r="B371" s="74">
        <f t="shared" si="155"/>
        <v>39.938310852355464</v>
      </c>
      <c r="C371" s="70">
        <f t="shared" si="145"/>
        <v>57.601</v>
      </c>
      <c r="D371" s="70">
        <f t="shared" si="154"/>
        <v>88</v>
      </c>
      <c r="E371" s="74">
        <f t="shared" si="146"/>
        <v>1.0053271024412536</v>
      </c>
      <c r="F371" s="74">
        <f t="shared" si="147"/>
        <v>1.53588974175501</v>
      </c>
      <c r="G371" s="74">
        <f t="shared" si="148"/>
        <v>96.06179017435086</v>
      </c>
      <c r="H371" s="74">
        <f t="shared" si="149"/>
        <v>5.286131481813329</v>
      </c>
      <c r="I371" s="74">
        <f t="shared" si="158"/>
        <v>5.286131481813329</v>
      </c>
      <c r="J371" s="74">
        <f t="shared" si="159"/>
        <v>3.180602221976846</v>
      </c>
      <c r="K371" s="74">
        <f t="shared" si="160"/>
        <v>25.823420688572526</v>
      </c>
      <c r="L371" s="74">
        <f t="shared" si="150"/>
        <v>2.1238923453025773</v>
      </c>
      <c r="M371" s="74">
        <f t="shared" si="161"/>
        <v>3.7484051255774977</v>
      </c>
      <c r="N371" s="74">
        <f t="shared" si="151"/>
        <v>-0.4002789405393484</v>
      </c>
      <c r="O371" s="74">
        <f t="shared" si="152"/>
        <v>47.0943936238596</v>
      </c>
      <c r="P371" s="74">
        <f t="shared" si="153"/>
        <v>0.457639236235567</v>
      </c>
    </row>
    <row r="372" spans="2:16" ht="13.5">
      <c r="B372" s="74">
        <f t="shared" si="155"/>
        <v>39.26795723336985</v>
      </c>
      <c r="C372" s="70">
        <f t="shared" si="145"/>
        <v>57.601</v>
      </c>
      <c r="D372" s="70">
        <f t="shared" si="154"/>
        <v>89</v>
      </c>
      <c r="E372" s="74">
        <f t="shared" si="146"/>
        <v>1.0053271024412536</v>
      </c>
      <c r="F372" s="74">
        <f t="shared" si="147"/>
        <v>1.5533430342749535</v>
      </c>
      <c r="G372" s="74">
        <f t="shared" si="148"/>
        <v>96.06179017435086</v>
      </c>
      <c r="H372" s="74">
        <f t="shared" si="149"/>
        <v>2.642260453508916</v>
      </c>
      <c r="I372" s="74">
        <f t="shared" si="158"/>
        <v>2.642260453508916</v>
      </c>
      <c r="J372" s="74">
        <f t="shared" si="159"/>
        <v>0.8253164850416557</v>
      </c>
      <c r="K372" s="74">
        <f t="shared" si="160"/>
        <v>24.78639448011291</v>
      </c>
      <c r="L372" s="74">
        <f t="shared" si="150"/>
        <v>2.141345637822521</v>
      </c>
      <c r="M372" s="74">
        <f t="shared" si="161"/>
        <v>3.7898162648555984</v>
      </c>
      <c r="N372" s="74">
        <f t="shared" si="151"/>
        <v>-0.47040266753803595</v>
      </c>
      <c r="O372" s="74">
        <f t="shared" si="152"/>
        <v>45.81131034887257</v>
      </c>
      <c r="P372" s="74">
        <f t="shared" si="153"/>
        <v>0.4901436395617458</v>
      </c>
    </row>
    <row r="373" spans="2:16" ht="13.5">
      <c r="B373" s="74">
        <f t="shared" si="155"/>
        <v>38.57759853521356</v>
      </c>
      <c r="C373" s="70">
        <f t="shared" si="145"/>
        <v>57.601</v>
      </c>
      <c r="D373" s="70">
        <f t="shared" si="154"/>
        <v>90</v>
      </c>
      <c r="E373" s="74">
        <f t="shared" si="146"/>
        <v>1.0053271024412536</v>
      </c>
      <c r="F373" s="74">
        <f t="shared" si="147"/>
        <v>1.5707963267948966</v>
      </c>
      <c r="G373" s="74">
        <f t="shared" si="148"/>
        <v>96.06179017435086</v>
      </c>
      <c r="H373" s="74">
        <f t="shared" si="149"/>
        <v>9.272842368089618E-15</v>
      </c>
      <c r="I373" s="74">
        <f t="shared" si="158"/>
        <v>9.272842368089618E-15</v>
      </c>
      <c r="J373" s="74">
        <f t="shared" si="159"/>
        <v>-1.5833333333333073</v>
      </c>
      <c r="K373" s="74">
        <f t="shared" si="160"/>
        <v>23.750000000000007</v>
      </c>
      <c r="L373" s="74">
        <f t="shared" si="150"/>
        <v>2.158798930342464</v>
      </c>
      <c r="M373" s="74">
        <f t="shared" si="161"/>
        <v>3.8333333333333317</v>
      </c>
      <c r="N373" s="74">
        <f t="shared" si="151"/>
        <v>-0.5421151989096857</v>
      </c>
      <c r="O373" s="74">
        <f t="shared" si="152"/>
        <v>44.54557379798972</v>
      </c>
      <c r="P373" s="74">
        <f t="shared" si="153"/>
        <v>0.5235987755982985</v>
      </c>
    </row>
    <row r="374" spans="2:16" ht="13.5">
      <c r="B374" s="74">
        <f t="shared" si="155"/>
        <v>41.5718324444326</v>
      </c>
      <c r="C374" s="70">
        <f>C373+J214</f>
        <v>60.001</v>
      </c>
      <c r="D374" s="70">
        <f t="shared" si="154"/>
        <v>60</v>
      </c>
      <c r="E374" s="74">
        <f t="shared" si="146"/>
        <v>1.0472150044891178</v>
      </c>
      <c r="F374" s="74">
        <f t="shared" si="147"/>
        <v>1.0471975511965976</v>
      </c>
      <c r="G374" s="74">
        <f t="shared" si="148"/>
        <v>87.39287437786855</v>
      </c>
      <c r="H374" s="74">
        <f t="shared" si="149"/>
        <v>56.61327536344993</v>
      </c>
      <c r="I374" s="74">
        <f t="shared" si="158"/>
        <v>87.39639699857963</v>
      </c>
      <c r="J374" s="74">
        <f t="shared" si="159"/>
        <v>56.61327536344993</v>
      </c>
      <c r="K374" s="74">
        <f t="shared" si="160"/>
        <v>58.03017223313404</v>
      </c>
      <c r="L374" s="74">
        <f t="shared" si="150"/>
        <v>1.6352001547441652</v>
      </c>
      <c r="M374" s="74">
        <f t="shared" si="161"/>
        <v>3.196152422706631</v>
      </c>
      <c r="N374" s="74">
        <f t="shared" si="151"/>
        <v>1.1905676074715958</v>
      </c>
      <c r="O374" s="74">
        <f t="shared" si="152"/>
        <v>83.14366488886522</v>
      </c>
      <c r="P374" s="74">
        <f t="shared" si="153"/>
        <v>0.35458455813834766</v>
      </c>
    </row>
    <row r="375" spans="2:16" ht="13.5">
      <c r="B375" s="74">
        <f t="shared" si="155"/>
        <v>41.90205483051978</v>
      </c>
      <c r="C375" s="70">
        <f>C374</f>
        <v>60.001</v>
      </c>
      <c r="D375" s="70">
        <f t="shared" si="154"/>
        <v>61</v>
      </c>
      <c r="E375" s="74">
        <f t="shared" si="146"/>
        <v>1.0472150044891178</v>
      </c>
      <c r="F375" s="74">
        <f t="shared" si="147"/>
        <v>1.064650843716541</v>
      </c>
      <c r="G375" s="74">
        <f t="shared" si="148"/>
        <v>87.39287437786855</v>
      </c>
      <c r="H375" s="74">
        <f t="shared" si="149"/>
        <v>54.91741842603781</v>
      </c>
      <c r="I375" s="74">
        <f t="shared" si="158"/>
        <v>83.90853266366291</v>
      </c>
      <c r="J375" s="74">
        <f t="shared" si="159"/>
        <v>54.91741842603781</v>
      </c>
      <c r="K375" s="74">
        <f t="shared" si="160"/>
        <v>56.662099930008154</v>
      </c>
      <c r="L375" s="74">
        <f t="shared" si="150"/>
        <v>1.6526534472641083</v>
      </c>
      <c r="M375" s="74">
        <f t="shared" si="161"/>
        <v>3.200241894286732</v>
      </c>
      <c r="N375" s="74">
        <f t="shared" si="151"/>
        <v>1.1400769994561701</v>
      </c>
      <c r="O375" s="74">
        <f t="shared" si="152"/>
        <v>81.35719837380474</v>
      </c>
      <c r="P375" s="74">
        <f t="shared" si="153"/>
        <v>0.3399365698652165</v>
      </c>
    </row>
    <row r="376" spans="2:16" ht="13.5">
      <c r="B376" s="74">
        <f t="shared" si="155"/>
        <v>42.19575571903397</v>
      </c>
      <c r="C376" s="70">
        <f aca="true" t="shared" si="162" ref="C376:C404">C375</f>
        <v>60.001</v>
      </c>
      <c r="D376" s="70">
        <f t="shared" si="154"/>
        <v>62</v>
      </c>
      <c r="E376" s="74">
        <f t="shared" si="146"/>
        <v>1.0472150044891178</v>
      </c>
      <c r="F376" s="74">
        <f t="shared" si="147"/>
        <v>1.0821041362364843</v>
      </c>
      <c r="G376" s="74">
        <f t="shared" si="148"/>
        <v>87.39287437786855</v>
      </c>
      <c r="H376" s="74">
        <f t="shared" si="149"/>
        <v>53.21669751699319</v>
      </c>
      <c r="I376" s="74">
        <f t="shared" si="158"/>
        <v>80.48751521775635</v>
      </c>
      <c r="J376" s="74">
        <f t="shared" si="159"/>
        <v>53.21669751699319</v>
      </c>
      <c r="K376" s="74">
        <f t="shared" si="160"/>
        <v>55.3202475049003</v>
      </c>
      <c r="L376" s="74">
        <f t="shared" si="150"/>
        <v>1.6701067397840519</v>
      </c>
      <c r="M376" s="74">
        <f t="shared" si="161"/>
        <v>3.205319466443784</v>
      </c>
      <c r="N376" s="74">
        <f t="shared" si="151"/>
        <v>1.0894415768165406</v>
      </c>
      <c r="O376" s="74">
        <f t="shared" si="152"/>
        <v>79.62676310719026</v>
      </c>
      <c r="P376" s="74">
        <f t="shared" si="153"/>
        <v>0.3269750441128731</v>
      </c>
    </row>
    <row r="377" spans="2:16" ht="13.5">
      <c r="B377" s="74">
        <f t="shared" si="155"/>
        <v>42.45399282434358</v>
      </c>
      <c r="C377" s="70">
        <f t="shared" si="162"/>
        <v>60.001</v>
      </c>
      <c r="D377" s="70">
        <f t="shared" si="154"/>
        <v>63</v>
      </c>
      <c r="E377" s="74">
        <f t="shared" si="146"/>
        <v>1.0472150044891178</v>
      </c>
      <c r="F377" s="74">
        <f t="shared" si="147"/>
        <v>1.0995574287564276</v>
      </c>
      <c r="G377" s="74">
        <f t="shared" si="148"/>
        <v>87.39287437786855</v>
      </c>
      <c r="H377" s="74">
        <f t="shared" si="149"/>
        <v>51.51005054407396</v>
      </c>
      <c r="I377" s="74">
        <f t="shared" si="158"/>
        <v>77.12941491721917</v>
      </c>
      <c r="J377" s="74">
        <f t="shared" si="159"/>
        <v>51.51005054407396</v>
      </c>
      <c r="K377" s="74">
        <f t="shared" si="160"/>
        <v>54.00307356373172</v>
      </c>
      <c r="L377" s="74">
        <f t="shared" si="150"/>
        <v>1.687560032303995</v>
      </c>
      <c r="M377" s="74">
        <f t="shared" si="161"/>
        <v>3.2113929525108333</v>
      </c>
      <c r="N377" s="74">
        <f t="shared" si="151"/>
        <v>1.0386297179684278</v>
      </c>
      <c r="O377" s="74">
        <f t="shared" si="152"/>
        <v>77.94886171383628</v>
      </c>
      <c r="P377" s="74">
        <f t="shared" si="153"/>
        <v>0.3156334844446568</v>
      </c>
    </row>
    <row r="378" spans="2:16" ht="13.5">
      <c r="B378" s="74">
        <f t="shared" si="155"/>
        <v>42.67770544584135</v>
      </c>
      <c r="C378" s="70">
        <f t="shared" si="162"/>
        <v>60.001</v>
      </c>
      <c r="D378" s="70">
        <f t="shared" si="154"/>
        <v>64</v>
      </c>
      <c r="E378" s="74">
        <f t="shared" si="146"/>
        <v>1.0472150044891178</v>
      </c>
      <c r="F378" s="74">
        <f t="shared" si="147"/>
        <v>1.117010721276371</v>
      </c>
      <c r="G378" s="74">
        <f t="shared" si="148"/>
        <v>87.39287437786855</v>
      </c>
      <c r="H378" s="74">
        <f t="shared" si="149"/>
        <v>49.7964007486329</v>
      </c>
      <c r="I378" s="74">
        <f t="shared" si="158"/>
        <v>73.83052059415728</v>
      </c>
      <c r="J378" s="74">
        <f t="shared" si="159"/>
        <v>49.7964007486329</v>
      </c>
      <c r="K378" s="74">
        <f t="shared" si="160"/>
        <v>52.70912244609802</v>
      </c>
      <c r="L378" s="74">
        <f t="shared" si="150"/>
        <v>1.7050133248239385</v>
      </c>
      <c r="M378" s="74">
        <f t="shared" si="161"/>
        <v>3.21847173736185</v>
      </c>
      <c r="N378" s="74">
        <f t="shared" si="151"/>
        <v>0.9876093646658881</v>
      </c>
      <c r="O378" s="74">
        <f t="shared" si="152"/>
        <v>76.32018428873704</v>
      </c>
      <c r="P378" s="74">
        <f t="shared" si="153"/>
        <v>0.30585179955996405</v>
      </c>
    </row>
    <row r="379" spans="2:16" ht="13.5">
      <c r="B379" s="74">
        <f t="shared" si="155"/>
        <v>42.86772096361153</v>
      </c>
      <c r="C379" s="70">
        <f t="shared" si="162"/>
        <v>60.001</v>
      </c>
      <c r="D379" s="70">
        <f t="shared" si="154"/>
        <v>65</v>
      </c>
      <c r="E379" s="74">
        <f t="shared" si="146"/>
        <v>1.0472150044891178</v>
      </c>
      <c r="F379" s="74">
        <f t="shared" si="147"/>
        <v>1.1344640137963142</v>
      </c>
      <c r="G379" s="74">
        <f t="shared" si="148"/>
        <v>87.39287437786855</v>
      </c>
      <c r="H379" s="74">
        <f t="shared" si="149"/>
        <v>48.07465394252364</v>
      </c>
      <c r="I379" s="74">
        <f t="shared" si="158"/>
        <v>70.58732175321292</v>
      </c>
      <c r="J379" s="74">
        <f t="shared" si="159"/>
        <v>48.07465394252364</v>
      </c>
      <c r="K379" s="74">
        <f t="shared" si="160"/>
        <v>51.43701720295304</v>
      </c>
      <c r="L379" s="74">
        <f t="shared" si="150"/>
        <v>1.7224666173438816</v>
      </c>
      <c r="M379" s="74">
        <f t="shared" si="161"/>
        <v>3.2265668130425462</v>
      </c>
      <c r="N379" s="74">
        <f t="shared" si="151"/>
        <v>0.9363479397359457</v>
      </c>
      <c r="O379" s="74">
        <f t="shared" si="152"/>
        <v>74.73759074958788</v>
      </c>
      <c r="P379" s="74">
        <f t="shared" si="153"/>
        <v>0.29757654816094514</v>
      </c>
    </row>
    <row r="380" spans="2:16" ht="13.5">
      <c r="B380" s="74">
        <f t="shared" si="155"/>
        <v>43.02476049350496</v>
      </c>
      <c r="C380" s="70">
        <f t="shared" si="162"/>
        <v>60.001</v>
      </c>
      <c r="D380" s="70">
        <f t="shared" si="154"/>
        <v>66</v>
      </c>
      <c r="E380" s="74">
        <f t="shared" si="146"/>
        <v>1.0472150044891178</v>
      </c>
      <c r="F380" s="74">
        <f t="shared" si="147"/>
        <v>1.1519173063162575</v>
      </c>
      <c r="G380" s="74">
        <f t="shared" si="148"/>
        <v>87.39287437786855</v>
      </c>
      <c r="H380" s="74">
        <f t="shared" si="149"/>
        <v>46.34369565210348</v>
      </c>
      <c r="I380" s="74">
        <f t="shared" si="158"/>
        <v>67.39649223857965</v>
      </c>
      <c r="J380" s="74">
        <f t="shared" si="159"/>
        <v>46.34369565210348</v>
      </c>
      <c r="K380" s="74">
        <f t="shared" si="160"/>
        <v>50.18545319019432</v>
      </c>
      <c r="L380" s="74">
        <f t="shared" si="150"/>
        <v>1.7399199098638252</v>
      </c>
      <c r="M380" s="74">
        <f t="shared" si="161"/>
        <v>3.235690820800044</v>
      </c>
      <c r="N380" s="74">
        <f t="shared" si="151"/>
        <v>0.8848122620472225</v>
      </c>
      <c r="O380" s="74">
        <f t="shared" si="152"/>
        <v>73.19809458590579</v>
      </c>
      <c r="P380" s="74">
        <f t="shared" si="153"/>
        <v>0.2907610541209843</v>
      </c>
    </row>
    <row r="381" spans="2:16" ht="13.5">
      <c r="B381" s="74">
        <f t="shared" si="155"/>
        <v>43.14944377021765</v>
      </c>
      <c r="C381" s="70">
        <f t="shared" si="162"/>
        <v>60.001</v>
      </c>
      <c r="D381" s="70">
        <f t="shared" si="154"/>
        <v>67</v>
      </c>
      <c r="E381" s="74">
        <f t="shared" si="146"/>
        <v>1.0472150044891178</v>
      </c>
      <c r="F381" s="74">
        <f t="shared" si="147"/>
        <v>1.1693705988362006</v>
      </c>
      <c r="G381" s="74">
        <f t="shared" si="148"/>
        <v>87.39287437786855</v>
      </c>
      <c r="H381" s="74">
        <f t="shared" si="149"/>
        <v>44.602388153158174</v>
      </c>
      <c r="I381" s="74">
        <f t="shared" si="158"/>
        <v>64.25487530372895</v>
      </c>
      <c r="J381" s="74">
        <f t="shared" si="159"/>
        <v>44.602388153158174</v>
      </c>
      <c r="K381" s="74">
        <f t="shared" si="160"/>
        <v>48.95319221244529</v>
      </c>
      <c r="L381" s="74">
        <f t="shared" si="150"/>
        <v>1.7573732023837683</v>
      </c>
      <c r="M381" s="74">
        <f t="shared" si="161"/>
        <v>3.2458580998131934</v>
      </c>
      <c r="N381" s="74">
        <f t="shared" si="151"/>
        <v>0.8329684582310031</v>
      </c>
      <c r="O381" s="74">
        <f t="shared" si="152"/>
        <v>71.69884783570113</v>
      </c>
      <c r="P381" s="74">
        <f t="shared" si="153"/>
        <v>0.2853654314447938</v>
      </c>
    </row>
    <row r="382" spans="2:16" ht="13.5">
      <c r="B382" s="74">
        <f t="shared" si="155"/>
        <v>43.24229331665923</v>
      </c>
      <c r="C382" s="70">
        <f t="shared" si="162"/>
        <v>60.001</v>
      </c>
      <c r="D382" s="70">
        <f t="shared" si="154"/>
        <v>68</v>
      </c>
      <c r="E382" s="74">
        <f t="shared" si="146"/>
        <v>1.0472150044891178</v>
      </c>
      <c r="F382" s="74">
        <f t="shared" si="147"/>
        <v>1.1868238913561442</v>
      </c>
      <c r="G382" s="74">
        <f t="shared" si="148"/>
        <v>87.39287437786855</v>
      </c>
      <c r="H382" s="74">
        <f t="shared" si="149"/>
        <v>42.84956737955771</v>
      </c>
      <c r="I382" s="74">
        <f t="shared" si="158"/>
        <v>61.15946993579685</v>
      </c>
      <c r="J382" s="74">
        <f t="shared" si="159"/>
        <v>42.84956737955771</v>
      </c>
      <c r="K382" s="74">
        <f t="shared" si="160"/>
        <v>47.739057158962424</v>
      </c>
      <c r="L382" s="74">
        <f t="shared" si="150"/>
        <v>1.7748264949037118</v>
      </c>
      <c r="M382" s="74">
        <f t="shared" si="161"/>
        <v>3.2570847429771757</v>
      </c>
      <c r="N382" s="74">
        <f t="shared" si="151"/>
        <v>0.7807818706428962</v>
      </c>
      <c r="O382" s="74">
        <f t="shared" si="152"/>
        <v>70.23712713839357</v>
      </c>
      <c r="P382" s="74">
        <f t="shared" si="153"/>
        <v>0.28135654952939787</v>
      </c>
    </row>
    <row r="383" spans="2:16" ht="13.5">
      <c r="B383" s="74">
        <f t="shared" si="155"/>
        <v>43.30373794869275</v>
      </c>
      <c r="C383" s="70">
        <f t="shared" si="162"/>
        <v>60.001</v>
      </c>
      <c r="D383" s="70">
        <f t="shared" si="154"/>
        <v>69</v>
      </c>
      <c r="E383" s="74">
        <f t="shared" si="146"/>
        <v>1.0472150044891178</v>
      </c>
      <c r="F383" s="74">
        <f t="shared" si="147"/>
        <v>1.2042771838760873</v>
      </c>
      <c r="G383" s="74">
        <f t="shared" si="148"/>
        <v>87.39287437786855</v>
      </c>
      <c r="H383" s="74">
        <f t="shared" si="149"/>
        <v>41.08403968726031</v>
      </c>
      <c r="I383" s="74">
        <f t="shared" si="158"/>
        <v>58.107418303486085</v>
      </c>
      <c r="J383" s="74">
        <f t="shared" si="159"/>
        <v>41.08403968726031</v>
      </c>
      <c r="K383" s="74">
        <f t="shared" si="160"/>
        <v>46.54192708022782</v>
      </c>
      <c r="L383" s="74">
        <f t="shared" si="150"/>
        <v>1.792279787423655</v>
      </c>
      <c r="M383" s="74">
        <f t="shared" si="161"/>
        <v>3.2693886601519666</v>
      </c>
      <c r="N383" s="74">
        <f t="shared" si="151"/>
        <v>0.7282169610177962</v>
      </c>
      <c r="O383" s="74">
        <f t="shared" si="152"/>
        <v>68.81032072781417</v>
      </c>
      <c r="P383" s="74">
        <f t="shared" si="153"/>
        <v>0.2787079617274969</v>
      </c>
    </row>
    <row r="384" spans="2:16" ht="13.5">
      <c r="B384" s="74">
        <f t="shared" si="155"/>
        <v>43.33411565603829</v>
      </c>
      <c r="C384" s="70">
        <f t="shared" si="162"/>
        <v>60.001</v>
      </c>
      <c r="D384" s="70">
        <f t="shared" si="154"/>
        <v>70</v>
      </c>
      <c r="E384" s="74">
        <f t="shared" si="146"/>
        <v>1.0472150044891178</v>
      </c>
      <c r="F384" s="74">
        <f t="shared" si="147"/>
        <v>1.2217304763960306</v>
      </c>
      <c r="G384" s="74">
        <f t="shared" si="148"/>
        <v>87.39287437786855</v>
      </c>
      <c r="H384" s="74">
        <f t="shared" si="149"/>
        <v>39.30457845389725</v>
      </c>
      <c r="I384" s="74">
        <f t="shared" si="158"/>
        <v>55.09599421204639</v>
      </c>
      <c r="J384" s="74">
        <f t="shared" si="159"/>
        <v>39.30457845389725</v>
      </c>
      <c r="K384" s="74">
        <f t="shared" si="160"/>
        <v>45.360732659555765</v>
      </c>
      <c r="L384" s="74">
        <f t="shared" si="150"/>
        <v>1.809733079943598</v>
      </c>
      <c r="M384" s="74">
        <f t="shared" si="161"/>
        <v>3.2827896493451227</v>
      </c>
      <c r="N384" s="74">
        <f t="shared" si="151"/>
        <v>0.6752372092296027</v>
      </c>
      <c r="O384" s="74">
        <f t="shared" si="152"/>
        <v>67.41591624202361</v>
      </c>
      <c r="P384" s="74">
        <f t="shared" si="153"/>
        <v>0.27739981400017455</v>
      </c>
    </row>
    <row r="385" spans="2:16" ht="13.5">
      <c r="B385" s="74">
        <f t="shared" si="155"/>
        <v>43.33367589259034</v>
      </c>
      <c r="C385" s="70">
        <f t="shared" si="162"/>
        <v>60.001</v>
      </c>
      <c r="D385" s="70">
        <f t="shared" si="154"/>
        <v>71</v>
      </c>
      <c r="E385" s="74">
        <f t="shared" si="146"/>
        <v>1.0472150044891178</v>
      </c>
      <c r="F385" s="74">
        <f t="shared" si="147"/>
        <v>1.239183768915974</v>
      </c>
      <c r="G385" s="74">
        <f t="shared" si="148"/>
        <v>87.39287437786855</v>
      </c>
      <c r="H385" s="74">
        <f t="shared" si="149"/>
        <v>37.50992049257642</v>
      </c>
      <c r="I385" s="74">
        <f t="shared" si="158"/>
        <v>52.12259246172309</v>
      </c>
      <c r="J385" s="74">
        <f t="shared" si="159"/>
        <v>37.50992049257642</v>
      </c>
      <c r="K385" s="74">
        <f t="shared" si="160"/>
        <v>44.19445203907388</v>
      </c>
      <c r="L385" s="74">
        <f t="shared" si="150"/>
        <v>1.8271863724635415</v>
      </c>
      <c r="M385" s="74">
        <f t="shared" si="161"/>
        <v>3.297309476365921</v>
      </c>
      <c r="N385" s="74">
        <f t="shared" si="151"/>
        <v>0.6218050065196917</v>
      </c>
      <c r="O385" s="74">
        <f t="shared" si="152"/>
        <v>66.05148923759016</v>
      </c>
      <c r="P385" s="74">
        <f t="shared" si="153"/>
        <v>0.27741874530227173</v>
      </c>
    </row>
    <row r="386" spans="2:16" ht="13.5">
      <c r="B386" s="74">
        <f t="shared" si="155"/>
        <v>43.30258130246025</v>
      </c>
      <c r="C386" s="70">
        <f t="shared" si="162"/>
        <v>60.001</v>
      </c>
      <c r="D386" s="70">
        <f t="shared" si="154"/>
        <v>72</v>
      </c>
      <c r="E386" s="74">
        <f t="shared" si="146"/>
        <v>1.0472150044891178</v>
      </c>
      <c r="F386" s="74">
        <f t="shared" si="147"/>
        <v>1.2566370614359172</v>
      </c>
      <c r="G386" s="74">
        <f t="shared" si="148"/>
        <v>87.39287437786855</v>
      </c>
      <c r="H386" s="74">
        <f t="shared" si="149"/>
        <v>35.698762256707205</v>
      </c>
      <c r="I386" s="74">
        <f t="shared" si="158"/>
        <v>49.18471901725621</v>
      </c>
      <c r="J386" s="74">
        <f t="shared" si="159"/>
        <v>35.698762256707205</v>
      </c>
      <c r="K386" s="74">
        <f t="shared" si="160"/>
        <v>43.042106963828815</v>
      </c>
      <c r="L386" s="74">
        <f t="shared" si="150"/>
        <v>1.8446396649834846</v>
      </c>
      <c r="M386" s="74">
        <f t="shared" si="161"/>
        <v>3.3129719635610875</v>
      </c>
      <c r="N386" s="74">
        <f t="shared" si="151"/>
        <v>0.5678815425034818</v>
      </c>
      <c r="O386" s="74">
        <f t="shared" si="152"/>
        <v>64.7146923051325</v>
      </c>
      <c r="P386" s="74">
        <f t="shared" si="153"/>
        <v>0.2787577870377117</v>
      </c>
    </row>
    <row r="387" spans="2:16" ht="13.5">
      <c r="B387" s="74">
        <f t="shared" si="155"/>
        <v>43.24090890158644</v>
      </c>
      <c r="C387" s="70">
        <f t="shared" si="162"/>
        <v>60.001</v>
      </c>
      <c r="D387" s="70">
        <f t="shared" si="154"/>
        <v>73</v>
      </c>
      <c r="E387" s="74">
        <f t="shared" si="146"/>
        <v>1.0472150044891178</v>
      </c>
      <c r="F387" s="74">
        <f t="shared" si="147"/>
        <v>1.2740903539558606</v>
      </c>
      <c r="G387" s="74">
        <f t="shared" si="148"/>
        <v>87.39287437786855</v>
      </c>
      <c r="H387" s="74">
        <f t="shared" si="149"/>
        <v>33.86975581055276</v>
      </c>
      <c r="I387" s="74">
        <f t="shared" si="158"/>
        <v>46.27998190580472</v>
      </c>
      <c r="J387" s="74">
        <f t="shared" si="159"/>
        <v>33.86975581055276</v>
      </c>
      <c r="K387" s="74">
        <f t="shared" si="160"/>
        <v>41.90275921160796</v>
      </c>
      <c r="L387" s="74">
        <f t="shared" si="150"/>
        <v>1.8620929575034282</v>
      </c>
      <c r="M387" s="74">
        <f t="shared" si="161"/>
        <v>3.3298030883232532</v>
      </c>
      <c r="N387" s="74">
        <f t="shared" si="151"/>
        <v>0.5134266852020202</v>
      </c>
      <c r="O387" s="74">
        <f t="shared" si="152"/>
        <v>63.40324469053537</v>
      </c>
      <c r="P387" s="74">
        <f t="shared" si="153"/>
        <v>0.2814162652268716</v>
      </c>
    </row>
    <row r="388" spans="2:16" ht="13.5">
      <c r="B388" s="74">
        <f t="shared" si="155"/>
        <v>43.14865072864096</v>
      </c>
      <c r="C388" s="70">
        <f t="shared" si="162"/>
        <v>60.001</v>
      </c>
      <c r="D388" s="70">
        <f t="shared" si="154"/>
        <v>74</v>
      </c>
      <c r="E388" s="74">
        <f t="shared" si="146"/>
        <v>1.0472150044891178</v>
      </c>
      <c r="F388" s="74">
        <f t="shared" si="147"/>
        <v>1.2915436464758039</v>
      </c>
      <c r="G388" s="74">
        <f t="shared" si="148"/>
        <v>87.39287437786855</v>
      </c>
      <c r="H388" s="74">
        <f t="shared" si="149"/>
        <v>32.02150453781869</v>
      </c>
      <c r="I388" s="74">
        <f t="shared" si="158"/>
        <v>43.40608276923955</v>
      </c>
      <c r="J388" s="74">
        <f t="shared" si="159"/>
        <v>32.02150453781869</v>
      </c>
      <c r="K388" s="74">
        <f t="shared" si="160"/>
        <v>40.77550727942922</v>
      </c>
      <c r="L388" s="74">
        <f t="shared" si="150"/>
        <v>1.8795462500233713</v>
      </c>
      <c r="M388" s="74">
        <f t="shared" si="161"/>
        <v>3.347831092152982</v>
      </c>
      <c r="N388" s="74">
        <f t="shared" si="151"/>
        <v>0.4583988532741495</v>
      </c>
      <c r="O388" s="74">
        <f t="shared" si="152"/>
        <v>62.114922332441445</v>
      </c>
      <c r="P388" s="74">
        <f t="shared" si="153"/>
        <v>0.2853997057308949</v>
      </c>
    </row>
    <row r="389" spans="2:16" ht="13.5">
      <c r="B389" s="74">
        <f t="shared" si="155"/>
        <v>43.025713973091</v>
      </c>
      <c r="C389" s="70">
        <f t="shared" si="162"/>
        <v>60.001</v>
      </c>
      <c r="D389" s="70">
        <f t="shared" si="154"/>
        <v>75</v>
      </c>
      <c r="E389" s="74">
        <f t="shared" si="146"/>
        <v>1.0472150044891178</v>
      </c>
      <c r="F389" s="74">
        <f t="shared" si="147"/>
        <v>1.3089969389957472</v>
      </c>
      <c r="G389" s="74">
        <f t="shared" si="148"/>
        <v>87.39287437786855</v>
      </c>
      <c r="H389" s="74">
        <f t="shared" si="149"/>
        <v>30.152558557855457</v>
      </c>
      <c r="I389" s="74">
        <f t="shared" si="158"/>
        <v>40.560809004261195</v>
      </c>
      <c r="J389" s="74">
        <f t="shared" si="159"/>
        <v>30.152558557855457</v>
      </c>
      <c r="K389" s="74">
        <f t="shared" si="160"/>
        <v>39.65948330059791</v>
      </c>
      <c r="L389" s="74">
        <f t="shared" si="150"/>
        <v>1.8969995425433148</v>
      </c>
      <c r="M389" s="74">
        <f t="shared" si="161"/>
        <v>3.3670866011551928</v>
      </c>
      <c r="N389" s="74">
        <f t="shared" si="151"/>
        <v>0.4027548795434824</v>
      </c>
      <c r="O389" s="74">
        <f t="shared" si="152"/>
        <v>60.84754823153087</v>
      </c>
      <c r="P389" s="74">
        <f t="shared" si="153"/>
        <v>0.29071973978174365</v>
      </c>
    </row>
    <row r="390" spans="2:16" ht="13.5">
      <c r="B390" s="74">
        <f t="shared" si="155"/>
        <v>42.87192058254665</v>
      </c>
      <c r="C390" s="70">
        <f t="shared" si="162"/>
        <v>60.001</v>
      </c>
      <c r="D390" s="70">
        <f t="shared" si="154"/>
        <v>76</v>
      </c>
      <c r="E390" s="74">
        <f t="shared" si="146"/>
        <v>1.0472150044891178</v>
      </c>
      <c r="F390" s="74">
        <f t="shared" si="147"/>
        <v>1.3264502315156903</v>
      </c>
      <c r="G390" s="74">
        <f t="shared" si="148"/>
        <v>87.39287437786855</v>
      </c>
      <c r="H390" s="74">
        <f t="shared" si="149"/>
        <v>28.2614098159386</v>
      </c>
      <c r="I390" s="74">
        <f t="shared" si="158"/>
        <v>37.7420264303865</v>
      </c>
      <c r="J390" s="74">
        <f t="shared" si="159"/>
        <v>28.2614098159386</v>
      </c>
      <c r="K390" s="74">
        <f t="shared" si="160"/>
        <v>38.55385016881386</v>
      </c>
      <c r="L390" s="74">
        <f t="shared" si="150"/>
        <v>1.914452835063258</v>
      </c>
      <c r="M390" s="74">
        <f t="shared" si="161"/>
        <v>3.3876027589624966</v>
      </c>
      <c r="N390" s="74">
        <f t="shared" si="151"/>
        <v>0.34644986482172163</v>
      </c>
      <c r="O390" s="74">
        <f t="shared" si="152"/>
        <v>59.59898307081492</v>
      </c>
      <c r="P390" s="74">
        <f t="shared" si="153"/>
        <v>0.2973940039905558</v>
      </c>
    </row>
    <row r="391" spans="2:16" ht="13.5">
      <c r="B391" s="74">
        <f t="shared" si="155"/>
        <v>42.687006345840686</v>
      </c>
      <c r="C391" s="70">
        <f t="shared" si="162"/>
        <v>60.001</v>
      </c>
      <c r="D391" s="70">
        <f t="shared" si="154"/>
        <v>77</v>
      </c>
      <c r="E391" s="74">
        <f t="shared" si="146"/>
        <v>1.0472150044891178</v>
      </c>
      <c r="F391" s="74">
        <f t="shared" si="147"/>
        <v>1.3439035240356338</v>
      </c>
      <c r="G391" s="74">
        <f t="shared" si="148"/>
        <v>87.39287437786855</v>
      </c>
      <c r="H391" s="74">
        <f t="shared" si="149"/>
        <v>26.34648681054474</v>
      </c>
      <c r="I391" s="74">
        <f aca="true" t="shared" si="163" ref="I391:I404">(0.5*$D$3*$D$9+$D$6)*$D$9/TAN(F391)</f>
        <v>34.9476724316321</v>
      </c>
      <c r="J391" s="74">
        <f t="shared" si="159"/>
        <v>26.34648681054474</v>
      </c>
      <c r="K391" s="74">
        <f aca="true" t="shared" si="164" ref="K391:K404">0.5*$D$3*$D$8^2*(1/TAN(F391)-1/TAN($D$16))+$G$19</f>
        <v>37.4577988480803</v>
      </c>
      <c r="L391" s="74">
        <f t="shared" si="150"/>
        <v>1.9319061275832015</v>
      </c>
      <c r="M391" s="74">
        <f t="shared" si="161"/>
        <v>3.409415373203253</v>
      </c>
      <c r="N391" s="74">
        <f t="shared" si="151"/>
        <v>0.2894370209242849</v>
      </c>
      <c r="O391" s="74">
        <f t="shared" si="152"/>
        <v>58.36711600875797</v>
      </c>
      <c r="P391" s="74">
        <f t="shared" si="153"/>
        <v>0.3054460257841965</v>
      </c>
    </row>
    <row r="392" spans="2:16" ht="13.5">
      <c r="B392" s="74">
        <f t="shared" si="155"/>
        <v>42.47061944254788</v>
      </c>
      <c r="C392" s="70">
        <f t="shared" si="162"/>
        <v>60.001</v>
      </c>
      <c r="D392" s="70">
        <f t="shared" si="154"/>
        <v>78</v>
      </c>
      <c r="E392" s="74">
        <f t="shared" si="146"/>
        <v>1.0472150044891178</v>
      </c>
      <c r="F392" s="74">
        <f t="shared" si="147"/>
        <v>1.361356816555577</v>
      </c>
      <c r="G392" s="74">
        <f t="shared" si="148"/>
        <v>87.39287437786855</v>
      </c>
      <c r="H392" s="74">
        <f t="shared" si="149"/>
        <v>24.40614891650218</v>
      </c>
      <c r="I392" s="74">
        <f t="shared" si="163"/>
        <v>32.17574952279962</v>
      </c>
      <c r="J392" s="74">
        <f t="shared" si="159"/>
        <v>24.40614891650218</v>
      </c>
      <c r="K392" s="74">
        <f t="shared" si="164"/>
        <v>36.370545849157565</v>
      </c>
      <c r="L392" s="74">
        <f t="shared" si="150"/>
        <v>1.9493594201031446</v>
      </c>
      <c r="M392" s="74">
        <f t="shared" si="161"/>
        <v>3.4325630767730444</v>
      </c>
      <c r="N392" s="74">
        <f t="shared" si="151"/>
        <v>0.23166750165393885</v>
      </c>
      <c r="O392" s="74">
        <f t="shared" si="152"/>
        <v>57.149855568549334</v>
      </c>
      <c r="P392" s="74">
        <f t="shared" si="153"/>
        <v>0.31490508170031306</v>
      </c>
    </row>
    <row r="393" spans="2:16" ht="13.5">
      <c r="B393" s="74">
        <f t="shared" si="155"/>
        <v>42.222318443757025</v>
      </c>
      <c r="C393" s="70">
        <f t="shared" si="162"/>
        <v>60.001</v>
      </c>
      <c r="D393" s="70">
        <f t="shared" si="154"/>
        <v>79</v>
      </c>
      <c r="E393" s="74">
        <f t="shared" si="146"/>
        <v>1.0472150044891178</v>
      </c>
      <c r="F393" s="74">
        <f t="shared" si="147"/>
        <v>1.3788101090755203</v>
      </c>
      <c r="G393" s="74">
        <f t="shared" si="148"/>
        <v>87.39287437786855</v>
      </c>
      <c r="H393" s="74">
        <f t="shared" si="149"/>
        <v>22.438680258289008</v>
      </c>
      <c r="I393" s="74">
        <f t="shared" si="163"/>
        <v>29.424319295722153</v>
      </c>
      <c r="J393" s="74">
        <f t="shared" si="159"/>
        <v>22.438680258289008</v>
      </c>
      <c r="K393" s="74">
        <f t="shared" si="164"/>
        <v>35.29133085505204</v>
      </c>
      <c r="L393" s="74">
        <f t="shared" si="150"/>
        <v>1.9668127126230877</v>
      </c>
      <c r="M393" s="74">
        <f t="shared" si="161"/>
        <v>3.4570875053272205</v>
      </c>
      <c r="N393" s="74">
        <f t="shared" si="151"/>
        <v>0.17309022039101127</v>
      </c>
      <c r="O393" s="74">
        <f t="shared" si="152"/>
        <v>55.94512054728922</v>
      </c>
      <c r="P393" s="74">
        <f t="shared" si="153"/>
        <v>0.3258060120244075</v>
      </c>
    </row>
    <row r="394" spans="2:16" ht="13.5">
      <c r="B394" s="74">
        <f t="shared" si="155"/>
        <v>41.94156974275984</v>
      </c>
      <c r="C394" s="70">
        <f t="shared" si="162"/>
        <v>60.001</v>
      </c>
      <c r="D394" s="70">
        <f t="shared" si="154"/>
        <v>80</v>
      </c>
      <c r="E394" s="74">
        <f t="shared" si="146"/>
        <v>1.0472150044891178</v>
      </c>
      <c r="F394" s="74">
        <f t="shared" si="147"/>
        <v>1.3962634015954636</v>
      </c>
      <c r="G394" s="74">
        <f t="shared" si="148"/>
        <v>87.39287437786855</v>
      </c>
      <c r="H394" s="74">
        <f t="shared" si="149"/>
        <v>20.442283082501756</v>
      </c>
      <c r="I394" s="74">
        <f t="shared" si="163"/>
        <v>26.691496704743898</v>
      </c>
      <c r="J394" s="74">
        <f t="shared" si="159"/>
        <v>20.442283082501756</v>
      </c>
      <c r="K394" s="74">
        <f t="shared" si="164"/>
        <v>34.21941447956511</v>
      </c>
      <c r="L394" s="74">
        <f t="shared" si="150"/>
        <v>1.9842660051430312</v>
      </c>
      <c r="M394" s="74">
        <f t="shared" si="161"/>
        <v>3.483033492591896</v>
      </c>
      <c r="N394" s="74">
        <f t="shared" si="151"/>
        <v>0.1136516527724497</v>
      </c>
      <c r="O394" s="74">
        <f t="shared" si="152"/>
        <v>54.75083086823684</v>
      </c>
      <c r="P394" s="74">
        <f t="shared" si="153"/>
        <v>0.3381889707777612</v>
      </c>
    </row>
    <row r="395" spans="2:16" ht="13.5">
      <c r="B395" s="74">
        <f t="shared" si="155"/>
        <v>41.62774438780482</v>
      </c>
      <c r="C395" s="70">
        <f t="shared" si="162"/>
        <v>60.001</v>
      </c>
      <c r="D395" s="70">
        <f t="shared" si="154"/>
        <v>81</v>
      </c>
      <c r="E395" s="74">
        <f t="shared" si="146"/>
        <v>1.0472150044891178</v>
      </c>
      <c r="F395" s="74">
        <f t="shared" si="147"/>
        <v>1.413716694115407</v>
      </c>
      <c r="G395" s="74">
        <f t="shared" si="148"/>
        <v>87.39287437786855</v>
      </c>
      <c r="H395" s="74">
        <f t="shared" si="149"/>
        <v>18.415070572518374</v>
      </c>
      <c r="I395" s="74">
        <f t="shared" si="163"/>
        <v>23.97544465412669</v>
      </c>
      <c r="J395" s="74">
        <f t="shared" si="159"/>
        <v>18.415070572518374</v>
      </c>
      <c r="K395" s="74">
        <f t="shared" si="164"/>
        <v>33.15407614426935</v>
      </c>
      <c r="L395" s="74">
        <f t="shared" si="150"/>
        <v>2.0017192976629743</v>
      </c>
      <c r="M395" s="74">
        <f t="shared" si="161"/>
        <v>3.510449285294637</v>
      </c>
      <c r="N395" s="74">
        <f t="shared" si="151"/>
        <v>0.053295622763378</v>
      </c>
      <c r="O395" s="74">
        <f t="shared" si="152"/>
        <v>53.56489829756346</v>
      </c>
      <c r="P395" s="74">
        <f t="shared" si="153"/>
        <v>0.35209908500894654</v>
      </c>
    </row>
    <row r="396" spans="2:16" ht="13.5">
      <c r="B396" s="74">
        <f t="shared" si="155"/>
        <v>43.23745130572078</v>
      </c>
      <c r="C396" s="70">
        <f t="shared" si="162"/>
        <v>60.001</v>
      </c>
      <c r="D396" s="70">
        <f t="shared" si="154"/>
        <v>82</v>
      </c>
      <c r="E396" s="74">
        <f t="shared" si="146"/>
        <v>1.0472150044891178</v>
      </c>
      <c r="F396" s="74">
        <f t="shared" si="147"/>
        <v>1.43116998663535</v>
      </c>
      <c r="G396" s="74">
        <f t="shared" si="148"/>
        <v>87.39287437786855</v>
      </c>
      <c r="H396" s="74">
        <f t="shared" si="149"/>
        <v>21.274368853074545</v>
      </c>
      <c r="I396" s="74">
        <f t="shared" si="163"/>
        <v>21.274368853074545</v>
      </c>
      <c r="J396" s="74">
        <f t="shared" si="159"/>
        <v>16.355059041525283</v>
      </c>
      <c r="K396" s="74">
        <f t="shared" si="164"/>
        <v>32.09461206045451</v>
      </c>
      <c r="L396" s="74">
        <f t="shared" si="150"/>
        <v>2.0191725901829174</v>
      </c>
      <c r="M396" s="74">
        <f t="shared" si="161"/>
        <v>3.539386779747792</v>
      </c>
      <c r="N396" s="74">
        <f t="shared" si="151"/>
        <v>-0.008036929779261789</v>
      </c>
      <c r="O396" s="74">
        <f t="shared" si="152"/>
        <v>54.86911328027334</v>
      </c>
      <c r="P396" s="74">
        <f t="shared" si="153"/>
        <v>0.2815654137052347</v>
      </c>
    </row>
    <row r="397" spans="2:16" ht="13.5">
      <c r="B397" s="74">
        <f t="shared" si="155"/>
        <v>42.63846024983878</v>
      </c>
      <c r="C397" s="70">
        <f t="shared" si="162"/>
        <v>60.001</v>
      </c>
      <c r="D397" s="70">
        <f t="shared" si="154"/>
        <v>83</v>
      </c>
      <c r="E397" s="74">
        <f t="shared" si="146"/>
        <v>1.0472150044891178</v>
      </c>
      <c r="F397" s="74">
        <f t="shared" si="147"/>
        <v>1.4486232791552935</v>
      </c>
      <c r="G397" s="74">
        <f t="shared" si="148"/>
        <v>87.39287437786855</v>
      </c>
      <c r="H397" s="74">
        <f t="shared" si="149"/>
        <v>18.586512906677186</v>
      </c>
      <c r="I397" s="74">
        <f t="shared" si="163"/>
        <v>18.586512906677186</v>
      </c>
      <c r="J397" s="74">
        <f t="shared" si="159"/>
        <v>14.26015943222883</v>
      </c>
      <c r="K397" s="74">
        <f t="shared" si="164"/>
        <v>31.040333303609955</v>
      </c>
      <c r="L397" s="74">
        <f t="shared" si="150"/>
        <v>2.036625882702861</v>
      </c>
      <c r="M397" s="74">
        <f t="shared" si="161"/>
        <v>3.569901782381449</v>
      </c>
      <c r="N397" s="74">
        <f t="shared" si="151"/>
        <v>-0.0704082021850964</v>
      </c>
      <c r="O397" s="74">
        <f t="shared" si="152"/>
        <v>53.38913648769995</v>
      </c>
      <c r="P397" s="74">
        <f t="shared" si="153"/>
        <v>0.3075647653096693</v>
      </c>
    </row>
    <row r="398" spans="2:16" ht="13.5">
      <c r="B398" s="74">
        <f t="shared" si="155"/>
        <v>42.01831992297434</v>
      </c>
      <c r="C398" s="70">
        <f t="shared" si="162"/>
        <v>60.001</v>
      </c>
      <c r="D398" s="70">
        <f t="shared" si="154"/>
        <v>84</v>
      </c>
      <c r="E398" s="74">
        <f t="shared" si="146"/>
        <v>1.0472150044891178</v>
      </c>
      <c r="F398" s="74">
        <f t="shared" si="147"/>
        <v>1.4660765716752369</v>
      </c>
      <c r="G398" s="74">
        <f t="shared" si="148"/>
        <v>87.39287437786855</v>
      </c>
      <c r="H398" s="74">
        <f t="shared" si="149"/>
        <v>15.910153613341771</v>
      </c>
      <c r="I398" s="74">
        <f t="shared" si="163"/>
        <v>15.910153613341771</v>
      </c>
      <c r="J398" s="74">
        <f t="shared" si="159"/>
        <v>12.128168042573405</v>
      </c>
      <c r="K398" s="74">
        <f t="shared" si="164"/>
        <v>29.990563968899536</v>
      </c>
      <c r="L398" s="74">
        <f t="shared" si="150"/>
        <v>2.0540791752228045</v>
      </c>
      <c r="M398" s="74">
        <f t="shared" si="161"/>
        <v>3.602054296824678</v>
      </c>
      <c r="N398" s="74">
        <f t="shared" si="151"/>
        <v>-0.1338838050927462</v>
      </c>
      <c r="O398" s="74">
        <f t="shared" si="152"/>
        <v>51.93749972513001</v>
      </c>
      <c r="P398" s="74">
        <f t="shared" si="153"/>
        <v>0.33479787329359767</v>
      </c>
    </row>
    <row r="399" spans="2:16" ht="13.5">
      <c r="B399" s="74">
        <f t="shared" si="155"/>
        <v>41.37692016163412</v>
      </c>
      <c r="C399" s="70">
        <f t="shared" si="162"/>
        <v>60.001</v>
      </c>
      <c r="D399" s="70">
        <f t="shared" si="154"/>
        <v>85</v>
      </c>
      <c r="E399" s="74">
        <f t="shared" si="146"/>
        <v>1.0472150044891178</v>
      </c>
      <c r="F399" s="74">
        <f t="shared" si="147"/>
        <v>1.4835298641951802</v>
      </c>
      <c r="G399" s="74">
        <f t="shared" si="148"/>
        <v>87.39287437786855</v>
      </c>
      <c r="H399" s="74">
        <f t="shared" si="149"/>
        <v>13.24359644123674</v>
      </c>
      <c r="I399" s="74">
        <f t="shared" si="163"/>
        <v>13.24359644123674</v>
      </c>
      <c r="J399" s="74">
        <f t="shared" si="159"/>
        <v>9.956756386451493</v>
      </c>
      <c r="K399" s="74">
        <f t="shared" si="164"/>
        <v>28.944639396851734</v>
      </c>
      <c r="L399" s="74">
        <f t="shared" si="150"/>
        <v>2.0715324677427476</v>
      </c>
      <c r="M399" s="74">
        <f t="shared" si="161"/>
        <v>3.6359088404790922</v>
      </c>
      <c r="N399" s="74">
        <f t="shared" si="151"/>
        <v>-0.1985330643260647</v>
      </c>
      <c r="O399" s="74">
        <f t="shared" si="152"/>
        <v>50.51189269453449</v>
      </c>
      <c r="P399" s="74">
        <f t="shared" si="153"/>
        <v>0.36326538045131207</v>
      </c>
    </row>
    <row r="400" spans="2:16" ht="13.5">
      <c r="B400" s="74">
        <f t="shared" si="155"/>
        <v>40.714096193737376</v>
      </c>
      <c r="C400" s="70">
        <f t="shared" si="162"/>
        <v>60.001</v>
      </c>
      <c r="D400" s="70">
        <f t="shared" si="154"/>
        <v>86</v>
      </c>
      <c r="E400" s="74">
        <f t="shared" si="146"/>
        <v>1.0472150044891178</v>
      </c>
      <c r="F400" s="74">
        <f t="shared" si="147"/>
        <v>1.5009831567151233</v>
      </c>
      <c r="G400" s="74">
        <f t="shared" si="148"/>
        <v>87.39287437786855</v>
      </c>
      <c r="H400" s="74">
        <f t="shared" si="149"/>
        <v>10.585171157948913</v>
      </c>
      <c r="I400" s="74">
        <f t="shared" si="163"/>
        <v>10.585171157948913</v>
      </c>
      <c r="J400" s="74">
        <f t="shared" si="159"/>
        <v>7.743460086500027</v>
      </c>
      <c r="K400" s="74">
        <f t="shared" si="164"/>
        <v>27.90190445914594</v>
      </c>
      <c r="L400" s="74">
        <f t="shared" si="150"/>
        <v>2.0889857602626907</v>
      </c>
      <c r="M400" s="74">
        <f t="shared" si="161"/>
        <v>3.6715347939252476</v>
      </c>
      <c r="N400" s="74">
        <f t="shared" si="151"/>
        <v>-0.26442935158799213</v>
      </c>
      <c r="O400" s="74">
        <f t="shared" si="152"/>
        <v>49.11007358600057</v>
      </c>
      <c r="P400" s="74">
        <f t="shared" si="153"/>
        <v>0.392961166027542</v>
      </c>
    </row>
    <row r="401" spans="2:16" ht="13.5">
      <c r="B401" s="74">
        <f t="shared" si="155"/>
        <v>40.02962909072311</v>
      </c>
      <c r="C401" s="70">
        <f t="shared" si="162"/>
        <v>60.001</v>
      </c>
      <c r="D401" s="70">
        <f t="shared" si="154"/>
        <v>87</v>
      </c>
      <c r="E401" s="74">
        <f t="shared" si="146"/>
        <v>1.0472150044891178</v>
      </c>
      <c r="F401" s="74">
        <f t="shared" si="147"/>
        <v>1.5184364492350666</v>
      </c>
      <c r="G401" s="74">
        <f t="shared" si="148"/>
        <v>87.39287437786855</v>
      </c>
      <c r="H401" s="74">
        <f t="shared" si="149"/>
        <v>7.933227588970383</v>
      </c>
      <c r="I401" s="74">
        <f t="shared" si="163"/>
        <v>7.933227588970383</v>
      </c>
      <c r="J401" s="74">
        <f t="shared" si="159"/>
        <v>5.4856666823648865</v>
      </c>
      <c r="K401" s="74">
        <f t="shared" si="164"/>
        <v>26.861711894930572</v>
      </c>
      <c r="L401" s="74">
        <f t="shared" si="150"/>
        <v>2.106439052782634</v>
      </c>
      <c r="M401" s="74">
        <f t="shared" si="161"/>
        <v>3.7090067869585464</v>
      </c>
      <c r="N401" s="74">
        <f t="shared" si="151"/>
        <v>-0.3316504474440855</v>
      </c>
      <c r="O401" s="74">
        <f t="shared" si="152"/>
        <v>47.729860353616246</v>
      </c>
      <c r="P401" s="74">
        <f t="shared" si="153"/>
        <v>0.4238710929873347</v>
      </c>
    </row>
    <row r="402" spans="2:16" ht="13.5">
      <c r="B402" s="74">
        <f t="shared" si="155"/>
        <v>39.32324592516932</v>
      </c>
      <c r="C402" s="70">
        <f t="shared" si="162"/>
        <v>60.001</v>
      </c>
      <c r="D402" s="70">
        <f t="shared" si="154"/>
        <v>88</v>
      </c>
      <c r="E402" s="74">
        <f t="shared" si="146"/>
        <v>1.0472150044891178</v>
      </c>
      <c r="F402" s="74">
        <f t="shared" si="147"/>
        <v>1.53588974175501</v>
      </c>
      <c r="G402" s="74">
        <f t="shared" si="148"/>
        <v>87.39287437786855</v>
      </c>
      <c r="H402" s="74">
        <f t="shared" si="149"/>
        <v>5.286131481813329</v>
      </c>
      <c r="I402" s="74">
        <f t="shared" si="163"/>
        <v>5.286131481813329</v>
      </c>
      <c r="J402" s="74">
        <f t="shared" si="159"/>
        <v>3.180602221976846</v>
      </c>
      <c r="K402" s="74">
        <f t="shared" si="164"/>
        <v>25.823420688572526</v>
      </c>
      <c r="L402" s="74">
        <f t="shared" si="150"/>
        <v>2.1238923453025773</v>
      </c>
      <c r="M402" s="74">
        <f t="shared" si="161"/>
        <v>3.7484051255774977</v>
      </c>
      <c r="N402" s="74">
        <f t="shared" si="151"/>
        <v>-0.4002789405393484</v>
      </c>
      <c r="O402" s="74">
        <f t="shared" si="152"/>
        <v>46.36912234505622</v>
      </c>
      <c r="P402" s="74">
        <f t="shared" si="153"/>
        <v>0.4559717747301911</v>
      </c>
    </row>
    <row r="403" spans="2:16" ht="13.5">
      <c r="B403" s="74">
        <f t="shared" si="155"/>
        <v>38.59461963973164</v>
      </c>
      <c r="C403" s="70">
        <f t="shared" si="162"/>
        <v>60.001</v>
      </c>
      <c r="D403" s="70">
        <f t="shared" si="154"/>
        <v>89</v>
      </c>
      <c r="E403" s="74">
        <f t="shared" si="146"/>
        <v>1.0472150044891178</v>
      </c>
      <c r="F403" s="74">
        <f t="shared" si="147"/>
        <v>1.5533430342749535</v>
      </c>
      <c r="G403" s="74">
        <f t="shared" si="148"/>
        <v>87.39287437786855</v>
      </c>
      <c r="H403" s="74">
        <f t="shared" si="149"/>
        <v>2.642260453508916</v>
      </c>
      <c r="I403" s="74">
        <f t="shared" si="163"/>
        <v>2.642260453508916</v>
      </c>
      <c r="J403" s="74">
        <f t="shared" si="159"/>
        <v>0.8253164850416557</v>
      </c>
      <c r="K403" s="74">
        <f t="shared" si="164"/>
        <v>24.78639448011291</v>
      </c>
      <c r="L403" s="74">
        <f t="shared" si="150"/>
        <v>2.141345637822521</v>
      </c>
      <c r="M403" s="74">
        <f t="shared" si="161"/>
        <v>3.7898162648555984</v>
      </c>
      <c r="N403" s="74">
        <f t="shared" si="151"/>
        <v>-0.47040266753803595</v>
      </c>
      <c r="O403" s="74">
        <f t="shared" si="152"/>
        <v>45.025772224533625</v>
      </c>
      <c r="P403" s="74">
        <f t="shared" si="153"/>
        <v>0.4892294138348721</v>
      </c>
    </row>
    <row r="404" spans="2:16" ht="13.5">
      <c r="B404" s="74">
        <f t="shared" si="155"/>
        <v>37.8433686305388</v>
      </c>
      <c r="C404" s="70">
        <f t="shared" si="162"/>
        <v>60.001</v>
      </c>
      <c r="D404" s="70">
        <f t="shared" si="154"/>
        <v>90</v>
      </c>
      <c r="E404" s="74">
        <f t="shared" si="146"/>
        <v>1.0472150044891178</v>
      </c>
      <c r="F404" s="74">
        <f t="shared" si="147"/>
        <v>1.5707963267948966</v>
      </c>
      <c r="G404" s="74">
        <f t="shared" si="148"/>
        <v>87.39287437786855</v>
      </c>
      <c r="H404" s="74">
        <f t="shared" si="149"/>
        <v>9.272842368089618E-15</v>
      </c>
      <c r="I404" s="74">
        <f t="shared" si="163"/>
        <v>9.272842368089618E-15</v>
      </c>
      <c r="J404" s="74">
        <f t="shared" si="159"/>
        <v>-1.5833333333333073</v>
      </c>
      <c r="K404" s="74">
        <f t="shared" si="164"/>
        <v>23.750000000000007</v>
      </c>
      <c r="L404" s="74">
        <f t="shared" si="150"/>
        <v>2.158798930342464</v>
      </c>
      <c r="M404" s="74">
        <f t="shared" si="161"/>
        <v>3.8333333333333317</v>
      </c>
      <c r="N404" s="74">
        <f t="shared" si="151"/>
        <v>-0.5421151989096857</v>
      </c>
      <c r="O404" s="74">
        <f t="shared" si="152"/>
        <v>43.69775813176763</v>
      </c>
      <c r="P404" s="74">
        <f t="shared" si="153"/>
        <v>0.5235987755982986</v>
      </c>
    </row>
    <row r="405" spans="1:16" ht="15">
      <c r="A405" s="70" t="s">
        <v>515</v>
      </c>
      <c r="B405" s="70">
        <f>MAX(B219:B404)</f>
        <v>43.60655714913109</v>
      </c>
      <c r="C405" s="73">
        <f>VLOOKUP(B405,B219:P404,2,FALSE)</f>
        <v>57.601</v>
      </c>
      <c r="D405" s="73">
        <f>VLOOKUP(B405,B219:P404,3,FALSE)</f>
        <v>71</v>
      </c>
      <c r="E405" s="74"/>
      <c r="F405" s="74"/>
      <c r="G405" s="74"/>
      <c r="H405" s="74"/>
      <c r="I405" s="74"/>
      <c r="J405" s="74"/>
      <c r="K405" s="74"/>
      <c r="L405" s="74"/>
      <c r="M405" s="74"/>
      <c r="N405" s="74"/>
      <c r="O405" s="74"/>
      <c r="P405" s="74"/>
    </row>
    <row r="406" spans="2:16" ht="13.5">
      <c r="B406" s="74"/>
      <c r="E406" s="74"/>
      <c r="F406" s="74"/>
      <c r="G406" s="74"/>
      <c r="H406" s="74"/>
      <c r="I406" s="74"/>
      <c r="J406" s="74"/>
      <c r="K406" s="74"/>
      <c r="L406" s="74"/>
      <c r="M406" s="74"/>
      <c r="N406" s="74"/>
      <c r="O406" s="74"/>
      <c r="P406" s="74"/>
    </row>
    <row r="407" spans="3:11" ht="13.5">
      <c r="C407" s="74" t="s">
        <v>516</v>
      </c>
      <c r="D407" s="74">
        <f>C405-J214</f>
        <v>55.201</v>
      </c>
      <c r="E407" s="74" t="s">
        <v>473</v>
      </c>
      <c r="F407" s="74" t="s">
        <v>498</v>
      </c>
      <c r="G407" s="74">
        <f>C405+J214</f>
        <v>60.001</v>
      </c>
      <c r="H407" s="74" t="s">
        <v>473</v>
      </c>
      <c r="I407" s="70" t="s">
        <v>499</v>
      </c>
      <c r="J407" s="70">
        <f>(G407-D407)/5</f>
        <v>0.9599999999999994</v>
      </c>
      <c r="K407" s="74" t="s">
        <v>473</v>
      </c>
    </row>
    <row r="408" spans="3:11" ht="13.5">
      <c r="C408" s="74" t="s">
        <v>500</v>
      </c>
      <c r="D408" s="74">
        <f>$G$21</f>
        <v>60</v>
      </c>
      <c r="E408" s="74" t="s">
        <v>473</v>
      </c>
      <c r="F408" s="74" t="s">
        <v>501</v>
      </c>
      <c r="G408" s="74">
        <v>90</v>
      </c>
      <c r="H408" s="74" t="s">
        <v>473</v>
      </c>
      <c r="I408" s="70" t="s">
        <v>468</v>
      </c>
      <c r="J408" s="70">
        <f>(G408-D408)/30</f>
        <v>1</v>
      </c>
      <c r="K408" s="74" t="s">
        <v>473</v>
      </c>
    </row>
    <row r="410" spans="9:11" ht="13.5">
      <c r="I410" s="74" t="s">
        <v>502</v>
      </c>
      <c r="J410" s="74" t="s">
        <v>423</v>
      </c>
      <c r="K410" s="74" t="s">
        <v>424</v>
      </c>
    </row>
    <row r="411" spans="2:16" ht="13.5">
      <c r="B411" s="70" t="s">
        <v>503</v>
      </c>
      <c r="C411" s="74" t="s">
        <v>504</v>
      </c>
      <c r="D411" s="74" t="s">
        <v>505</v>
      </c>
      <c r="E411" s="74" t="s">
        <v>506</v>
      </c>
      <c r="F411" s="74" t="s">
        <v>507</v>
      </c>
      <c r="G411" s="70" t="s">
        <v>508</v>
      </c>
      <c r="H411" s="70" t="s">
        <v>509</v>
      </c>
      <c r="I411" s="74" t="str">
        <f>"ω2&gt;ωc"</f>
        <v>ω2&gt;ωc</v>
      </c>
      <c r="J411" s="75" t="str">
        <f>"ωb&lt;ω2&lt;ωc"</f>
        <v>ωb&lt;ω2&lt;ωc</v>
      </c>
      <c r="K411" s="74" t="str">
        <f>"ω2&lt;ωb"</f>
        <v>ω2&lt;ωb</v>
      </c>
      <c r="L411" s="74" t="s">
        <v>510</v>
      </c>
      <c r="M411" s="74" t="s">
        <v>467</v>
      </c>
      <c r="N411" s="74" t="s">
        <v>512</v>
      </c>
      <c r="O411" s="70" t="s">
        <v>513</v>
      </c>
      <c r="P411" s="70" t="s">
        <v>514</v>
      </c>
    </row>
    <row r="412" spans="2:16" ht="13.5">
      <c r="B412" s="74">
        <f>O412*SIN(F412-F$4)</f>
        <v>41.95361472580112</v>
      </c>
      <c r="C412" s="74">
        <f>D407</f>
        <v>55.201</v>
      </c>
      <c r="D412" s="74">
        <f>D408</f>
        <v>60</v>
      </c>
      <c r="E412" s="74">
        <f>C412*PI()/180</f>
        <v>0.9634392003933898</v>
      </c>
      <c r="F412" s="74">
        <f>D412*PI()/180</f>
        <v>1.0471975511965976</v>
      </c>
      <c r="G412" s="74">
        <f>(0.5*$D$3*$D$9+$D$5)*$D$9/TAN(E412)</f>
        <v>105.20444756427877</v>
      </c>
      <c r="H412" s="74">
        <f>IF(D412&gt;$F$17,I412,IF(D412&lt;$F$16,K412,J412))</f>
        <v>56.61327536344993</v>
      </c>
      <c r="I412" s="74">
        <f aca="true" t="shared" si="165" ref="I412:I433">(0.5*$D$3*$D$9+$D$6)*$D$9/TAN(F412)</f>
        <v>87.39639699857963</v>
      </c>
      <c r="J412" s="74">
        <f aca="true" t="shared" si="166" ref="J412:J443">0.5*$J$18*N412*$D$3+$G$18</f>
        <v>56.61327536344993</v>
      </c>
      <c r="K412" s="74">
        <f aca="true" t="shared" si="167" ref="K412:K433">0.5*$D$3*$D$8^2*(1/TAN(F412)-1/TAN($D$16))+$G$19</f>
        <v>58.03017223313404</v>
      </c>
      <c r="L412" s="74">
        <f>F412+D$14</f>
        <v>1.6352001547441652</v>
      </c>
      <c r="M412" s="74">
        <f aca="true" t="shared" si="168" ref="M412:M443">J$18/SIN(L412)*SIN(J$19)</f>
        <v>3.196152422706631</v>
      </c>
      <c r="N412" s="74">
        <f>M412*SIN(D$17-F412)</f>
        <v>1.1905676074715958</v>
      </c>
      <c r="O412" s="74">
        <f>SIN(E412-F$4)/SIN(E412+F412-2*F$4)*(G412+H412)</f>
        <v>83.90722945160225</v>
      </c>
      <c r="P412" s="74">
        <f>ATAN((O412*COS(F412-F$4)-H412)/(O412*SIN(F412-F$4)))</f>
        <v>0.3654391000340484</v>
      </c>
    </row>
    <row r="413" spans="2:16" ht="13.5">
      <c r="B413" s="74">
        <f aca="true" t="shared" si="169" ref="B413:B469">O413*SIN(F413-F$4)</f>
        <v>42.25641411851236</v>
      </c>
      <c r="C413" s="70">
        <f>C412</f>
        <v>55.201</v>
      </c>
      <c r="D413" s="70">
        <f>D412+J408</f>
        <v>61</v>
      </c>
      <c r="E413" s="74">
        <f aca="true" t="shared" si="170" ref="E413:E476">C413*PI()/180</f>
        <v>0.9634392003933898</v>
      </c>
      <c r="F413" s="74">
        <f aca="true" t="shared" si="171" ref="F413:F476">D413*PI()/180</f>
        <v>1.064650843716541</v>
      </c>
      <c r="G413" s="74">
        <f aca="true" t="shared" si="172" ref="G413:G476">(0.5*$D$3*$D$9+$D$5)*$D$9/TAN(E413)</f>
        <v>105.20444756427877</v>
      </c>
      <c r="H413" s="74">
        <f aca="true" t="shared" si="173" ref="H413:H476">IF(D413&gt;$F$17,I413,IF(D413&lt;$F$16,K413,J413))</f>
        <v>54.91741842603781</v>
      </c>
      <c r="I413" s="74">
        <f t="shared" si="165"/>
        <v>83.90853266366291</v>
      </c>
      <c r="J413" s="74">
        <f t="shared" si="166"/>
        <v>54.91741842603781</v>
      </c>
      <c r="K413" s="74">
        <f t="shared" si="167"/>
        <v>56.662099930008154</v>
      </c>
      <c r="L413" s="74">
        <f aca="true" t="shared" si="174" ref="L413:L476">F413+D$14</f>
        <v>1.6526534472641083</v>
      </c>
      <c r="M413" s="74">
        <f t="shared" si="168"/>
        <v>3.200241894286732</v>
      </c>
      <c r="N413" s="74">
        <f aca="true" t="shared" si="175" ref="N413:N476">M413*SIN(D$17-F413)</f>
        <v>1.1400769994561701</v>
      </c>
      <c r="O413" s="74">
        <f aca="true" t="shared" si="176" ref="O413:O476">SIN(E413-F$4)/SIN(E413+F413-2*F$4)*(G413+H413)</f>
        <v>82.04522379416704</v>
      </c>
      <c r="P413" s="74">
        <f aca="true" t="shared" si="177" ref="P413:P476">ATAN((O413*COS(F413-F$4)-H413)/(O413*SIN(F413-F$4)))</f>
        <v>0.34967146467724675</v>
      </c>
    </row>
    <row r="414" spans="2:16" ht="13.5">
      <c r="B414" s="74">
        <f t="shared" si="169"/>
        <v>42.52521154100357</v>
      </c>
      <c r="C414" s="70">
        <f aca="true" t="shared" si="178" ref="C414:C442">C413</f>
        <v>55.201</v>
      </c>
      <c r="D414" s="70">
        <f>D413+J408</f>
        <v>62</v>
      </c>
      <c r="E414" s="74">
        <f t="shared" si="170"/>
        <v>0.9634392003933898</v>
      </c>
      <c r="F414" s="74">
        <f t="shared" si="171"/>
        <v>1.0821041362364843</v>
      </c>
      <c r="G414" s="74">
        <f t="shared" si="172"/>
        <v>105.20444756427877</v>
      </c>
      <c r="H414" s="74">
        <f t="shared" si="173"/>
        <v>53.21669751699319</v>
      </c>
      <c r="I414" s="74">
        <f t="shared" si="165"/>
        <v>80.48751521775635</v>
      </c>
      <c r="J414" s="74">
        <f t="shared" si="166"/>
        <v>53.21669751699319</v>
      </c>
      <c r="K414" s="74">
        <f t="shared" si="167"/>
        <v>55.3202475049003</v>
      </c>
      <c r="L414" s="74">
        <f t="shared" si="174"/>
        <v>1.6701067397840519</v>
      </c>
      <c r="M414" s="74">
        <f t="shared" si="168"/>
        <v>3.205319466443784</v>
      </c>
      <c r="N414" s="74">
        <f t="shared" si="175"/>
        <v>1.0894415768165406</v>
      </c>
      <c r="O414" s="74">
        <f t="shared" si="176"/>
        <v>80.24847257164298</v>
      </c>
      <c r="P414" s="74">
        <f t="shared" si="177"/>
        <v>0.33571172976626423</v>
      </c>
    </row>
    <row r="415" spans="2:16" ht="13.5">
      <c r="B415" s="74">
        <f t="shared" si="169"/>
        <v>42.761190568835715</v>
      </c>
      <c r="C415" s="70">
        <f t="shared" si="178"/>
        <v>55.201</v>
      </c>
      <c r="D415" s="70">
        <f>D414+J408</f>
        <v>63</v>
      </c>
      <c r="E415" s="74">
        <f t="shared" si="170"/>
        <v>0.9634392003933898</v>
      </c>
      <c r="F415" s="74">
        <f t="shared" si="171"/>
        <v>1.0995574287564276</v>
      </c>
      <c r="G415" s="74">
        <f t="shared" si="172"/>
        <v>105.20444756427877</v>
      </c>
      <c r="H415" s="74">
        <f t="shared" si="173"/>
        <v>51.51005054407396</v>
      </c>
      <c r="I415" s="74">
        <f t="shared" si="165"/>
        <v>77.12941491721917</v>
      </c>
      <c r="J415" s="74">
        <f t="shared" si="166"/>
        <v>51.51005054407396</v>
      </c>
      <c r="K415" s="74">
        <f t="shared" si="167"/>
        <v>54.00307356373172</v>
      </c>
      <c r="L415" s="74">
        <f t="shared" si="174"/>
        <v>1.687560032303995</v>
      </c>
      <c r="M415" s="74">
        <f t="shared" si="168"/>
        <v>3.2113929525108333</v>
      </c>
      <c r="N415" s="74">
        <f t="shared" si="175"/>
        <v>1.0386297179684278</v>
      </c>
      <c r="O415" s="74">
        <f t="shared" si="176"/>
        <v>78.51290087508306</v>
      </c>
      <c r="P415" s="74">
        <f t="shared" si="177"/>
        <v>0.3234896869652076</v>
      </c>
    </row>
    <row r="416" spans="2:16" ht="13.5">
      <c r="B416" s="74">
        <f t="shared" si="169"/>
        <v>42.96541021852247</v>
      </c>
      <c r="C416" s="70">
        <f t="shared" si="178"/>
        <v>55.201</v>
      </c>
      <c r="D416" s="70">
        <f>D415+J408</f>
        <v>64</v>
      </c>
      <c r="E416" s="74">
        <f t="shared" si="170"/>
        <v>0.9634392003933898</v>
      </c>
      <c r="F416" s="74">
        <f t="shared" si="171"/>
        <v>1.117010721276371</v>
      </c>
      <c r="G416" s="74">
        <f t="shared" si="172"/>
        <v>105.20444756427877</v>
      </c>
      <c r="H416" s="74">
        <f t="shared" si="173"/>
        <v>49.7964007486329</v>
      </c>
      <c r="I416" s="74">
        <f t="shared" si="165"/>
        <v>73.83052059415728</v>
      </c>
      <c r="J416" s="74">
        <f t="shared" si="166"/>
        <v>49.7964007486329</v>
      </c>
      <c r="K416" s="74">
        <f t="shared" si="167"/>
        <v>52.70912244609802</v>
      </c>
      <c r="L416" s="74">
        <f t="shared" si="174"/>
        <v>1.7050133248239385</v>
      </c>
      <c r="M416" s="74">
        <f t="shared" si="168"/>
        <v>3.21847173736185</v>
      </c>
      <c r="N416" s="74">
        <f t="shared" si="175"/>
        <v>0.9876093646658881</v>
      </c>
      <c r="O416" s="74">
        <f t="shared" si="176"/>
        <v>76.83468433137962</v>
      </c>
      <c r="P416" s="74">
        <f t="shared" si="177"/>
        <v>0.31294053287810397</v>
      </c>
    </row>
    <row r="417" spans="2:16" ht="13.5">
      <c r="B417" s="74">
        <f t="shared" si="169"/>
        <v>43.138813170610476</v>
      </c>
      <c r="C417" s="70">
        <f t="shared" si="178"/>
        <v>55.201</v>
      </c>
      <c r="D417" s="70">
        <f>D416+J408</f>
        <v>65</v>
      </c>
      <c r="E417" s="74">
        <f t="shared" si="170"/>
        <v>0.9634392003933898</v>
      </c>
      <c r="F417" s="74">
        <f t="shared" si="171"/>
        <v>1.1344640137963142</v>
      </c>
      <c r="G417" s="74">
        <f t="shared" si="172"/>
        <v>105.20444756427877</v>
      </c>
      <c r="H417" s="74">
        <f t="shared" si="173"/>
        <v>48.07465394252364</v>
      </c>
      <c r="I417" s="74">
        <f t="shared" si="165"/>
        <v>70.58732175321292</v>
      </c>
      <c r="J417" s="74">
        <f t="shared" si="166"/>
        <v>48.07465394252364</v>
      </c>
      <c r="K417" s="74">
        <f t="shared" si="167"/>
        <v>51.43701720295304</v>
      </c>
      <c r="L417" s="74">
        <f t="shared" si="174"/>
        <v>1.7224666173438816</v>
      </c>
      <c r="M417" s="74">
        <f t="shared" si="168"/>
        <v>3.2265668130425462</v>
      </c>
      <c r="N417" s="74">
        <f t="shared" si="175"/>
        <v>0.9363479397359457</v>
      </c>
      <c r="O417" s="74">
        <f t="shared" si="176"/>
        <v>75.21022558919805</v>
      </c>
      <c r="P417" s="74">
        <f t="shared" si="177"/>
        <v>0.3040053878564302</v>
      </c>
    </row>
    <row r="418" spans="2:16" ht="13.5">
      <c r="B418" s="74">
        <f t="shared" si="169"/>
        <v>43.28223297972924</v>
      </c>
      <c r="C418" s="70">
        <f t="shared" si="178"/>
        <v>55.201</v>
      </c>
      <c r="D418" s="70">
        <f>D417+J408</f>
        <v>66</v>
      </c>
      <c r="E418" s="74">
        <f t="shared" si="170"/>
        <v>0.9634392003933898</v>
      </c>
      <c r="F418" s="74">
        <f t="shared" si="171"/>
        <v>1.1519173063162575</v>
      </c>
      <c r="G418" s="74">
        <f t="shared" si="172"/>
        <v>105.20444756427877</v>
      </c>
      <c r="H418" s="74">
        <f t="shared" si="173"/>
        <v>46.34369565210348</v>
      </c>
      <c r="I418" s="74">
        <f t="shared" si="165"/>
        <v>67.39649223857965</v>
      </c>
      <c r="J418" s="74">
        <f t="shared" si="166"/>
        <v>46.34369565210348</v>
      </c>
      <c r="K418" s="74">
        <f t="shared" si="167"/>
        <v>50.18545319019432</v>
      </c>
      <c r="L418" s="74">
        <f t="shared" si="174"/>
        <v>1.7399199098638252</v>
      </c>
      <c r="M418" s="74">
        <f t="shared" si="168"/>
        <v>3.235690820800044</v>
      </c>
      <c r="N418" s="74">
        <f t="shared" si="175"/>
        <v>0.8848122620472225</v>
      </c>
      <c r="O418" s="74">
        <f t="shared" si="176"/>
        <v>73.63613294297598</v>
      </c>
      <c r="P418" s="74">
        <f t="shared" si="177"/>
        <v>0.29663161148319805</v>
      </c>
    </row>
    <row r="419" spans="2:16" ht="13.5">
      <c r="B419" s="74">
        <f t="shared" si="169"/>
        <v>43.396400370218316</v>
      </c>
      <c r="C419" s="70">
        <f t="shared" si="178"/>
        <v>55.201</v>
      </c>
      <c r="D419" s="70">
        <f>D418+J408</f>
        <v>67</v>
      </c>
      <c r="E419" s="74">
        <f t="shared" si="170"/>
        <v>0.9634392003933898</v>
      </c>
      <c r="F419" s="74">
        <f t="shared" si="171"/>
        <v>1.1693705988362006</v>
      </c>
      <c r="G419" s="74">
        <f t="shared" si="172"/>
        <v>105.20444756427877</v>
      </c>
      <c r="H419" s="74">
        <f t="shared" si="173"/>
        <v>44.602388153158174</v>
      </c>
      <c r="I419" s="74">
        <f t="shared" si="165"/>
        <v>64.25487530372895</v>
      </c>
      <c r="J419" s="74">
        <f t="shared" si="166"/>
        <v>44.602388153158174</v>
      </c>
      <c r="K419" s="74">
        <f t="shared" si="167"/>
        <v>48.95319221244529</v>
      </c>
      <c r="L419" s="74">
        <f t="shared" si="174"/>
        <v>1.7573732023837683</v>
      </c>
      <c r="M419" s="74">
        <f t="shared" si="168"/>
        <v>3.2458580998131934</v>
      </c>
      <c r="N419" s="74">
        <f t="shared" si="175"/>
        <v>0.8329684582310031</v>
      </c>
      <c r="O419" s="74">
        <f t="shared" si="176"/>
        <v>72.10920083537737</v>
      </c>
      <c r="P419" s="74">
        <f t="shared" si="177"/>
        <v>0.29077296603193103</v>
      </c>
    </row>
    <row r="420" spans="2:16" ht="13.5">
      <c r="B420" s="74">
        <f t="shared" si="169"/>
        <v>43.481948701642295</v>
      </c>
      <c r="C420" s="70">
        <f t="shared" si="178"/>
        <v>55.201</v>
      </c>
      <c r="D420" s="70">
        <f>D419+J408</f>
        <v>68</v>
      </c>
      <c r="E420" s="74">
        <f t="shared" si="170"/>
        <v>0.9634392003933898</v>
      </c>
      <c r="F420" s="74">
        <f t="shared" si="171"/>
        <v>1.1868238913561442</v>
      </c>
      <c r="G420" s="74">
        <f t="shared" si="172"/>
        <v>105.20444756427877</v>
      </c>
      <c r="H420" s="74">
        <f t="shared" si="173"/>
        <v>42.84956737955771</v>
      </c>
      <c r="I420" s="74">
        <f t="shared" si="165"/>
        <v>61.15946993579685</v>
      </c>
      <c r="J420" s="74">
        <f t="shared" si="166"/>
        <v>42.84956737955771</v>
      </c>
      <c r="K420" s="74">
        <f t="shared" si="167"/>
        <v>47.739057158962424</v>
      </c>
      <c r="L420" s="74">
        <f t="shared" si="174"/>
        <v>1.7748264949037118</v>
      </c>
      <c r="M420" s="74">
        <f t="shared" si="168"/>
        <v>3.2570847429771757</v>
      </c>
      <c r="N420" s="74">
        <f t="shared" si="175"/>
        <v>0.7807818706428962</v>
      </c>
      <c r="O420" s="74">
        <f t="shared" si="176"/>
        <v>70.6263920097359</v>
      </c>
      <c r="P420" s="74">
        <f t="shared" si="177"/>
        <v>0.2863896687098099</v>
      </c>
    </row>
    <row r="421" spans="2:16" ht="13.5">
      <c r="B421" s="74">
        <f t="shared" si="169"/>
        <v>43.539418676020254</v>
      </c>
      <c r="C421" s="70">
        <f t="shared" si="178"/>
        <v>55.201</v>
      </c>
      <c r="D421" s="70">
        <f>D420+J408</f>
        <v>69</v>
      </c>
      <c r="E421" s="74">
        <f t="shared" si="170"/>
        <v>0.9634392003933898</v>
      </c>
      <c r="F421" s="74">
        <f t="shared" si="171"/>
        <v>1.2042771838760873</v>
      </c>
      <c r="G421" s="74">
        <f t="shared" si="172"/>
        <v>105.20444756427877</v>
      </c>
      <c r="H421" s="74">
        <f t="shared" si="173"/>
        <v>41.08403968726031</v>
      </c>
      <c r="I421" s="74">
        <f t="shared" si="165"/>
        <v>58.107418303486085</v>
      </c>
      <c r="J421" s="74">
        <f t="shared" si="166"/>
        <v>41.08403968726031</v>
      </c>
      <c r="K421" s="74">
        <f t="shared" si="167"/>
        <v>46.54192708022782</v>
      </c>
      <c r="L421" s="74">
        <f t="shared" si="174"/>
        <v>1.792279787423655</v>
      </c>
      <c r="M421" s="74">
        <f t="shared" si="168"/>
        <v>3.2693886601519666</v>
      </c>
      <c r="N421" s="74">
        <f t="shared" si="175"/>
        <v>0.7282169610177962</v>
      </c>
      <c r="O421" s="74">
        <f t="shared" si="176"/>
        <v>69.18482111057524</v>
      </c>
      <c r="P421" s="74">
        <f t="shared" si="177"/>
        <v>0.2834483643148923</v>
      </c>
    </row>
    <row r="422" spans="2:16" ht="13.5">
      <c r="B422" s="74">
        <f t="shared" si="169"/>
        <v>43.56926234762374</v>
      </c>
      <c r="C422" s="70">
        <f t="shared" si="178"/>
        <v>55.201</v>
      </c>
      <c r="D422" s="70">
        <f>D421+J408</f>
        <v>70</v>
      </c>
      <c r="E422" s="74">
        <f t="shared" si="170"/>
        <v>0.9634392003933898</v>
      </c>
      <c r="F422" s="74">
        <f t="shared" si="171"/>
        <v>1.2217304763960306</v>
      </c>
      <c r="G422" s="74">
        <f t="shared" si="172"/>
        <v>105.20444756427877</v>
      </c>
      <c r="H422" s="74">
        <f t="shared" si="173"/>
        <v>39.30457845389725</v>
      </c>
      <c r="I422" s="74">
        <f t="shared" si="165"/>
        <v>55.09599421204639</v>
      </c>
      <c r="J422" s="74">
        <f t="shared" si="166"/>
        <v>39.30457845389725</v>
      </c>
      <c r="K422" s="74">
        <f t="shared" si="167"/>
        <v>45.360732659555765</v>
      </c>
      <c r="L422" s="74">
        <f t="shared" si="174"/>
        <v>1.809733079943598</v>
      </c>
      <c r="M422" s="74">
        <f t="shared" si="168"/>
        <v>3.2827896493451227</v>
      </c>
      <c r="N422" s="74">
        <f t="shared" si="175"/>
        <v>0.6752372092296027</v>
      </c>
      <c r="O422" s="74">
        <f t="shared" si="176"/>
        <v>67.78173955293049</v>
      </c>
      <c r="P422" s="74">
        <f t="shared" si="177"/>
        <v>0.2819220420871087</v>
      </c>
    </row>
    <row r="423" spans="2:16" ht="13.5">
      <c r="B423" s="74">
        <f t="shared" si="169"/>
        <v>43.571846486474136</v>
      </c>
      <c r="C423" s="70">
        <f t="shared" si="178"/>
        <v>55.201</v>
      </c>
      <c r="D423" s="70">
        <f>D422+J408</f>
        <v>71</v>
      </c>
      <c r="E423" s="74">
        <f t="shared" si="170"/>
        <v>0.9634392003933898</v>
      </c>
      <c r="F423" s="74">
        <f t="shared" si="171"/>
        <v>1.239183768915974</v>
      </c>
      <c r="G423" s="74">
        <f t="shared" si="172"/>
        <v>105.20444756427877</v>
      </c>
      <c r="H423" s="74">
        <f t="shared" si="173"/>
        <v>37.50992049257642</v>
      </c>
      <c r="I423" s="74">
        <f t="shared" si="165"/>
        <v>52.12259246172309</v>
      </c>
      <c r="J423" s="74">
        <f t="shared" si="166"/>
        <v>37.50992049257642</v>
      </c>
      <c r="K423" s="74">
        <f t="shared" si="167"/>
        <v>44.19445203907388</v>
      </c>
      <c r="L423" s="74">
        <f t="shared" si="174"/>
        <v>1.8271863724635415</v>
      </c>
      <c r="M423" s="74">
        <f t="shared" si="168"/>
        <v>3.297309476365921</v>
      </c>
      <c r="N423" s="74">
        <f t="shared" si="175"/>
        <v>0.6218050065196917</v>
      </c>
      <c r="O423" s="74">
        <f t="shared" si="176"/>
        <v>66.41452150048009</v>
      </c>
      <c r="P423" s="74">
        <f t="shared" si="177"/>
        <v>0.2817899139011154</v>
      </c>
    </row>
    <row r="424" spans="2:16" ht="13.5">
      <c r="B424" s="74">
        <f t="shared" si="169"/>
        <v>43.547455337981106</v>
      </c>
      <c r="C424" s="70">
        <f t="shared" si="178"/>
        <v>55.201</v>
      </c>
      <c r="D424" s="70">
        <f>D423+J408</f>
        <v>72</v>
      </c>
      <c r="E424" s="74">
        <f t="shared" si="170"/>
        <v>0.9634392003933898</v>
      </c>
      <c r="F424" s="74">
        <f t="shared" si="171"/>
        <v>1.2566370614359172</v>
      </c>
      <c r="G424" s="74">
        <f t="shared" si="172"/>
        <v>105.20444756427877</v>
      </c>
      <c r="H424" s="74">
        <f t="shared" si="173"/>
        <v>35.698762256707205</v>
      </c>
      <c r="I424" s="74">
        <f t="shared" si="165"/>
        <v>49.18471901725621</v>
      </c>
      <c r="J424" s="74">
        <f t="shared" si="166"/>
        <v>35.698762256707205</v>
      </c>
      <c r="K424" s="74">
        <f t="shared" si="167"/>
        <v>43.042106963828815</v>
      </c>
      <c r="L424" s="74">
        <f t="shared" si="174"/>
        <v>1.8446396649834846</v>
      </c>
      <c r="M424" s="74">
        <f t="shared" si="168"/>
        <v>3.3129719635610875</v>
      </c>
      <c r="N424" s="74">
        <f t="shared" si="175"/>
        <v>0.5678815425034818</v>
      </c>
      <c r="O424" s="74">
        <f t="shared" si="176"/>
        <v>65.08065080888913</v>
      </c>
      <c r="P424" s="74">
        <f t="shared" si="177"/>
        <v>0.28303726536047025</v>
      </c>
    </row>
    <row r="425" spans="2:16" ht="13.5">
      <c r="B425" s="74">
        <f t="shared" si="169"/>
        <v>43.49629281331484</v>
      </c>
      <c r="C425" s="70">
        <f t="shared" si="178"/>
        <v>55.201</v>
      </c>
      <c r="D425" s="70">
        <f>D424+J408</f>
        <v>73</v>
      </c>
      <c r="E425" s="74">
        <f t="shared" si="170"/>
        <v>0.9634392003933898</v>
      </c>
      <c r="F425" s="74">
        <f t="shared" si="171"/>
        <v>1.2740903539558606</v>
      </c>
      <c r="G425" s="74">
        <f t="shared" si="172"/>
        <v>105.20444756427877</v>
      </c>
      <c r="H425" s="74">
        <f t="shared" si="173"/>
        <v>33.86975581055276</v>
      </c>
      <c r="I425" s="74">
        <f t="shared" si="165"/>
        <v>46.27998190580472</v>
      </c>
      <c r="J425" s="74">
        <f t="shared" si="166"/>
        <v>33.86975581055276</v>
      </c>
      <c r="K425" s="74">
        <f t="shared" si="167"/>
        <v>41.90275921160796</v>
      </c>
      <c r="L425" s="74">
        <f t="shared" si="174"/>
        <v>1.8620929575034282</v>
      </c>
      <c r="M425" s="74">
        <f t="shared" si="168"/>
        <v>3.3298030883232532</v>
      </c>
      <c r="N425" s="74">
        <f t="shared" si="175"/>
        <v>0.5134266852020202</v>
      </c>
      <c r="O425" s="74">
        <f t="shared" si="176"/>
        <v>63.777708804649954</v>
      </c>
      <c r="P425" s="74">
        <f t="shared" si="177"/>
        <v>0.2856552866077315</v>
      </c>
    </row>
    <row r="426" spans="2:16" ht="13.5">
      <c r="B426" s="74">
        <f t="shared" si="169"/>
        <v>43.418484137934875</v>
      </c>
      <c r="C426" s="70">
        <f t="shared" si="178"/>
        <v>55.201</v>
      </c>
      <c r="D426" s="70">
        <f>D425+J408</f>
        <v>74</v>
      </c>
      <c r="E426" s="74">
        <f t="shared" si="170"/>
        <v>0.9634392003933898</v>
      </c>
      <c r="F426" s="74">
        <f t="shared" si="171"/>
        <v>1.2915436464758039</v>
      </c>
      <c r="G426" s="74">
        <f t="shared" si="172"/>
        <v>105.20444756427877</v>
      </c>
      <c r="H426" s="74">
        <f t="shared" si="173"/>
        <v>32.02150453781869</v>
      </c>
      <c r="I426" s="74">
        <f t="shared" si="165"/>
        <v>43.40608276923955</v>
      </c>
      <c r="J426" s="74">
        <f t="shared" si="166"/>
        <v>32.02150453781869</v>
      </c>
      <c r="K426" s="74">
        <f t="shared" si="167"/>
        <v>40.77550727942922</v>
      </c>
      <c r="L426" s="74">
        <f t="shared" si="174"/>
        <v>1.8795462500233713</v>
      </c>
      <c r="M426" s="74">
        <f t="shared" si="168"/>
        <v>3.347831092152982</v>
      </c>
      <c r="N426" s="74">
        <f t="shared" si="175"/>
        <v>0.4583988532741495</v>
      </c>
      <c r="O426" s="74">
        <f t="shared" si="176"/>
        <v>62.50336278140001</v>
      </c>
      <c r="P426" s="74">
        <f t="shared" si="177"/>
        <v>0.28964088556518347</v>
      </c>
    </row>
    <row r="427" spans="2:16" ht="13.5">
      <c r="B427" s="74">
        <f t="shared" si="169"/>
        <v>43.3140769790597</v>
      </c>
      <c r="C427" s="70">
        <f t="shared" si="178"/>
        <v>55.201</v>
      </c>
      <c r="D427" s="70">
        <f>D426+J408</f>
        <v>75</v>
      </c>
      <c r="E427" s="74">
        <f t="shared" si="170"/>
        <v>0.9634392003933898</v>
      </c>
      <c r="F427" s="74">
        <f t="shared" si="171"/>
        <v>1.3089969389957472</v>
      </c>
      <c r="G427" s="74">
        <f t="shared" si="172"/>
        <v>105.20444756427877</v>
      </c>
      <c r="H427" s="74">
        <f t="shared" si="173"/>
        <v>30.152558557855457</v>
      </c>
      <c r="I427" s="74">
        <f t="shared" si="165"/>
        <v>40.560809004261195</v>
      </c>
      <c r="J427" s="74">
        <f t="shared" si="166"/>
        <v>30.152558557855457</v>
      </c>
      <c r="K427" s="74">
        <f t="shared" si="167"/>
        <v>39.65948330059791</v>
      </c>
      <c r="L427" s="74">
        <f t="shared" si="174"/>
        <v>1.8969995425433148</v>
      </c>
      <c r="M427" s="74">
        <f t="shared" si="168"/>
        <v>3.3670866011551928</v>
      </c>
      <c r="N427" s="74">
        <f t="shared" si="175"/>
        <v>0.4027548795434824</v>
      </c>
      <c r="O427" s="74">
        <f t="shared" si="176"/>
        <v>61.25535510545848</v>
      </c>
      <c r="P427" s="74">
        <f t="shared" si="177"/>
        <v>0.2949964826814903</v>
      </c>
    </row>
    <row r="428" spans="2:16" ht="13.5">
      <c r="B428" s="74">
        <f t="shared" si="169"/>
        <v>43.183042066624644</v>
      </c>
      <c r="C428" s="70">
        <f t="shared" si="178"/>
        <v>55.201</v>
      </c>
      <c r="D428" s="70">
        <f>D427+J408</f>
        <v>76</v>
      </c>
      <c r="E428" s="74">
        <f t="shared" si="170"/>
        <v>0.9634392003933898</v>
      </c>
      <c r="F428" s="74">
        <f t="shared" si="171"/>
        <v>1.3264502315156903</v>
      </c>
      <c r="G428" s="74">
        <f t="shared" si="172"/>
        <v>105.20444756427877</v>
      </c>
      <c r="H428" s="74">
        <f t="shared" si="173"/>
        <v>28.2614098159386</v>
      </c>
      <c r="I428" s="74">
        <f t="shared" si="165"/>
        <v>37.7420264303865</v>
      </c>
      <c r="J428" s="74">
        <f t="shared" si="166"/>
        <v>28.2614098159386</v>
      </c>
      <c r="K428" s="74">
        <f t="shared" si="167"/>
        <v>38.55385016881386</v>
      </c>
      <c r="L428" s="74">
        <f t="shared" si="174"/>
        <v>1.914452835063258</v>
      </c>
      <c r="M428" s="74">
        <f t="shared" si="168"/>
        <v>3.3876027589624966</v>
      </c>
      <c r="N428" s="74">
        <f t="shared" si="175"/>
        <v>0.34644986482172163</v>
      </c>
      <c r="O428" s="74">
        <f t="shared" si="176"/>
        <v>60.03149283036322</v>
      </c>
      <c r="P428" s="74">
        <f t="shared" si="177"/>
        <v>0.3017297829182796</v>
      </c>
    </row>
    <row r="429" spans="2:16" ht="13.5">
      <c r="B429" s="74">
        <f t="shared" si="169"/>
        <v>43.0252733163212</v>
      </c>
      <c r="C429" s="70">
        <f t="shared" si="178"/>
        <v>55.201</v>
      </c>
      <c r="D429" s="70">
        <f>D428+J408</f>
        <v>77</v>
      </c>
      <c r="E429" s="74">
        <f t="shared" si="170"/>
        <v>0.9634392003933898</v>
      </c>
      <c r="F429" s="74">
        <f t="shared" si="171"/>
        <v>1.3439035240356338</v>
      </c>
      <c r="G429" s="74">
        <f t="shared" si="172"/>
        <v>105.20444756427877</v>
      </c>
      <c r="H429" s="74">
        <f t="shared" si="173"/>
        <v>26.34648681054474</v>
      </c>
      <c r="I429" s="74">
        <f t="shared" si="165"/>
        <v>34.9476724316321</v>
      </c>
      <c r="J429" s="74">
        <f t="shared" si="166"/>
        <v>26.34648681054474</v>
      </c>
      <c r="K429" s="74">
        <f t="shared" si="167"/>
        <v>37.4577988480803</v>
      </c>
      <c r="L429" s="74">
        <f t="shared" si="174"/>
        <v>1.9319061275832015</v>
      </c>
      <c r="M429" s="74">
        <f t="shared" si="168"/>
        <v>3.409415373203253</v>
      </c>
      <c r="N429" s="74">
        <f t="shared" si="175"/>
        <v>0.2894370209242849</v>
      </c>
      <c r="O429" s="74">
        <f t="shared" si="176"/>
        <v>58.8296377266786</v>
      </c>
      <c r="P429" s="74">
        <f t="shared" si="177"/>
        <v>0.30985351753225665</v>
      </c>
    </row>
    <row r="430" spans="2:16" ht="13.5">
      <c r="B430" s="74">
        <f t="shared" si="169"/>
        <v>42.84058745752803</v>
      </c>
      <c r="C430" s="70">
        <f t="shared" si="178"/>
        <v>55.201</v>
      </c>
      <c r="D430" s="70">
        <f>D429+J408</f>
        <v>78</v>
      </c>
      <c r="E430" s="74">
        <f t="shared" si="170"/>
        <v>0.9634392003933898</v>
      </c>
      <c r="F430" s="74">
        <f t="shared" si="171"/>
        <v>1.361356816555577</v>
      </c>
      <c r="G430" s="74">
        <f t="shared" si="172"/>
        <v>105.20444756427877</v>
      </c>
      <c r="H430" s="74">
        <f t="shared" si="173"/>
        <v>24.40614891650218</v>
      </c>
      <c r="I430" s="74">
        <f t="shared" si="165"/>
        <v>32.17574952279962</v>
      </c>
      <c r="J430" s="74">
        <f t="shared" si="166"/>
        <v>24.40614891650218</v>
      </c>
      <c r="K430" s="74">
        <f t="shared" si="167"/>
        <v>36.370545849157565</v>
      </c>
      <c r="L430" s="74">
        <f t="shared" si="174"/>
        <v>1.9493594201031446</v>
      </c>
      <c r="M430" s="74">
        <f t="shared" si="168"/>
        <v>3.4325630767730444</v>
      </c>
      <c r="N430" s="74">
        <f t="shared" si="175"/>
        <v>0.23166750165393885</v>
      </c>
      <c r="O430" s="74">
        <f t="shared" si="176"/>
        <v>57.64769663841413</v>
      </c>
      <c r="P430" s="74">
        <f t="shared" si="177"/>
        <v>0.3193851450895913</v>
      </c>
    </row>
    <row r="431" spans="2:16" ht="13.5">
      <c r="B431" s="74">
        <f t="shared" si="169"/>
        <v>42.62872316322509</v>
      </c>
      <c r="C431" s="70">
        <f t="shared" si="178"/>
        <v>55.201</v>
      </c>
      <c r="D431" s="70">
        <f>D430+J408</f>
        <v>79</v>
      </c>
      <c r="E431" s="74">
        <f t="shared" si="170"/>
        <v>0.9634392003933898</v>
      </c>
      <c r="F431" s="74">
        <f t="shared" si="171"/>
        <v>1.3788101090755203</v>
      </c>
      <c r="G431" s="74">
        <f t="shared" si="172"/>
        <v>105.20444756427877</v>
      </c>
      <c r="H431" s="74">
        <f t="shared" si="173"/>
        <v>22.438680258289008</v>
      </c>
      <c r="I431" s="74">
        <f t="shared" si="165"/>
        <v>29.424319295722153</v>
      </c>
      <c r="J431" s="74">
        <f t="shared" si="166"/>
        <v>22.438680258289008</v>
      </c>
      <c r="K431" s="74">
        <f t="shared" si="167"/>
        <v>35.29133085505204</v>
      </c>
      <c r="L431" s="74">
        <f t="shared" si="174"/>
        <v>1.9668127126230877</v>
      </c>
      <c r="M431" s="74">
        <f t="shared" si="168"/>
        <v>3.4570875053272205</v>
      </c>
      <c r="N431" s="74">
        <f t="shared" si="175"/>
        <v>0.17309022039101127</v>
      </c>
      <c r="O431" s="74">
        <f t="shared" si="176"/>
        <v>56.48361208114269</v>
      </c>
      <c r="P431" s="74">
        <f t="shared" si="177"/>
        <v>0.3303464980251691</v>
      </c>
    </row>
    <row r="432" spans="2:16" ht="13.5">
      <c r="B432" s="74">
        <f t="shared" si="169"/>
        <v>42.389339673224</v>
      </c>
      <c r="C432" s="70">
        <f t="shared" si="178"/>
        <v>55.201</v>
      </c>
      <c r="D432" s="70">
        <f>D431+J408</f>
        <v>80</v>
      </c>
      <c r="E432" s="74">
        <f t="shared" si="170"/>
        <v>0.9634392003933898</v>
      </c>
      <c r="F432" s="74">
        <f t="shared" si="171"/>
        <v>1.3962634015954636</v>
      </c>
      <c r="G432" s="74">
        <f t="shared" si="172"/>
        <v>105.20444756427877</v>
      </c>
      <c r="H432" s="74">
        <f t="shared" si="173"/>
        <v>20.442283082501756</v>
      </c>
      <c r="I432" s="74">
        <f t="shared" si="165"/>
        <v>26.691496704743898</v>
      </c>
      <c r="J432" s="74">
        <f t="shared" si="166"/>
        <v>20.442283082501756</v>
      </c>
      <c r="K432" s="74">
        <f t="shared" si="167"/>
        <v>34.21941447956511</v>
      </c>
      <c r="L432" s="74">
        <f t="shared" si="174"/>
        <v>1.9842660051430312</v>
      </c>
      <c r="M432" s="74">
        <f t="shared" si="168"/>
        <v>3.483033492591896</v>
      </c>
      <c r="N432" s="74">
        <f t="shared" si="175"/>
        <v>0.1136516527724497</v>
      </c>
      <c r="O432" s="74">
        <f t="shared" si="176"/>
        <v>55.335352999408556</v>
      </c>
      <c r="P432" s="74">
        <f t="shared" si="177"/>
        <v>0.3427633579127264</v>
      </c>
    </row>
    <row r="433" spans="2:16" ht="13.5">
      <c r="B433" s="74">
        <f t="shared" si="169"/>
        <v>42.12201489614376</v>
      </c>
      <c r="C433" s="70">
        <f t="shared" si="178"/>
        <v>55.201</v>
      </c>
      <c r="D433" s="70">
        <f>D432+J408</f>
        <v>81</v>
      </c>
      <c r="E433" s="74">
        <f t="shared" si="170"/>
        <v>0.9634392003933898</v>
      </c>
      <c r="F433" s="74">
        <f t="shared" si="171"/>
        <v>1.413716694115407</v>
      </c>
      <c r="G433" s="74">
        <f t="shared" si="172"/>
        <v>105.20444756427877</v>
      </c>
      <c r="H433" s="74">
        <f t="shared" si="173"/>
        <v>18.415070572518374</v>
      </c>
      <c r="I433" s="74">
        <f t="shared" si="165"/>
        <v>23.97544465412669</v>
      </c>
      <c r="J433" s="74">
        <f t="shared" si="166"/>
        <v>18.415070572518374</v>
      </c>
      <c r="K433" s="74">
        <f t="shared" si="167"/>
        <v>33.15407614426935</v>
      </c>
      <c r="L433" s="74">
        <f t="shared" si="174"/>
        <v>2.0017192976629743</v>
      </c>
      <c r="M433" s="74">
        <f t="shared" si="168"/>
        <v>3.510449285294637</v>
      </c>
      <c r="N433" s="74">
        <f t="shared" si="175"/>
        <v>0.053295622763378</v>
      </c>
      <c r="O433" s="74">
        <f t="shared" si="176"/>
        <v>54.20090560230747</v>
      </c>
      <c r="P433" s="74">
        <f t="shared" si="177"/>
        <v>0.35666493948743055</v>
      </c>
    </row>
    <row r="434" spans="2:16" ht="13.5">
      <c r="B434" s="74">
        <f t="shared" si="169"/>
        <v>43.51888102926925</v>
      </c>
      <c r="C434" s="70">
        <f t="shared" si="178"/>
        <v>55.201</v>
      </c>
      <c r="D434" s="70">
        <f>D433+J408</f>
        <v>82</v>
      </c>
      <c r="E434" s="74">
        <f t="shared" si="170"/>
        <v>0.9634392003933898</v>
      </c>
      <c r="F434" s="74">
        <f t="shared" si="171"/>
        <v>1.43116998663535</v>
      </c>
      <c r="G434" s="74">
        <f t="shared" si="172"/>
        <v>105.20444756427877</v>
      </c>
      <c r="H434" s="74">
        <f t="shared" si="173"/>
        <v>21.274368853074545</v>
      </c>
      <c r="I434" s="74">
        <f aca="true" t="shared" si="179" ref="I434:I487">(0.5*$D$3*$D$9+$D$6)*$D$9/TAN(F434)</f>
        <v>21.274368853074545</v>
      </c>
      <c r="J434" s="74">
        <f t="shared" si="166"/>
        <v>16.355059041525283</v>
      </c>
      <c r="K434" s="74">
        <f aca="true" t="shared" si="180" ref="K434:K487">0.5*$D$3*$D$8^2*(1/TAN(F434)-1/TAN($D$16))+$G$19</f>
        <v>32.09461206045451</v>
      </c>
      <c r="L434" s="74">
        <f t="shared" si="174"/>
        <v>2.0191725901829174</v>
      </c>
      <c r="M434" s="74">
        <f t="shared" si="168"/>
        <v>3.539386779747792</v>
      </c>
      <c r="N434" s="74">
        <f t="shared" si="175"/>
        <v>-0.008036929779261789</v>
      </c>
      <c r="O434" s="74">
        <f t="shared" si="176"/>
        <v>55.22625272571919</v>
      </c>
      <c r="P434" s="74">
        <f t="shared" si="177"/>
        <v>0.2844991673544078</v>
      </c>
    </row>
    <row r="435" spans="2:16" ht="13.5">
      <c r="B435" s="74">
        <f t="shared" si="169"/>
        <v>43.004385688079466</v>
      </c>
      <c r="C435" s="70">
        <f t="shared" si="178"/>
        <v>55.201</v>
      </c>
      <c r="D435" s="70">
        <f>D434+J408</f>
        <v>83</v>
      </c>
      <c r="E435" s="74">
        <f t="shared" si="170"/>
        <v>0.9634392003933898</v>
      </c>
      <c r="F435" s="74">
        <f t="shared" si="171"/>
        <v>1.4486232791552935</v>
      </c>
      <c r="G435" s="74">
        <f t="shared" si="172"/>
        <v>105.20444756427877</v>
      </c>
      <c r="H435" s="74">
        <f t="shared" si="173"/>
        <v>18.586512906677186</v>
      </c>
      <c r="I435" s="74">
        <f t="shared" si="179"/>
        <v>18.586512906677186</v>
      </c>
      <c r="J435" s="74">
        <f t="shared" si="166"/>
        <v>14.26015943222883</v>
      </c>
      <c r="K435" s="74">
        <f t="shared" si="180"/>
        <v>31.040333303609955</v>
      </c>
      <c r="L435" s="74">
        <f t="shared" si="174"/>
        <v>2.036625882702861</v>
      </c>
      <c r="M435" s="74">
        <f t="shared" si="168"/>
        <v>3.569901782381449</v>
      </c>
      <c r="N435" s="74">
        <f t="shared" si="175"/>
        <v>-0.0704082021850964</v>
      </c>
      <c r="O435" s="74">
        <f t="shared" si="176"/>
        <v>53.847324777147556</v>
      </c>
      <c r="P435" s="74">
        <f t="shared" si="177"/>
        <v>0.3109303691144622</v>
      </c>
    </row>
    <row r="436" spans="2:16" ht="13.5">
      <c r="B436" s="74">
        <f t="shared" si="169"/>
        <v>42.4731858054382</v>
      </c>
      <c r="C436" s="70">
        <f t="shared" si="178"/>
        <v>55.201</v>
      </c>
      <c r="D436" s="70">
        <f>D435+J408</f>
        <v>84</v>
      </c>
      <c r="E436" s="74">
        <f t="shared" si="170"/>
        <v>0.9634392003933898</v>
      </c>
      <c r="F436" s="74">
        <f t="shared" si="171"/>
        <v>1.4660765716752369</v>
      </c>
      <c r="G436" s="74">
        <f t="shared" si="172"/>
        <v>105.20444756427877</v>
      </c>
      <c r="H436" s="74">
        <f t="shared" si="173"/>
        <v>15.910153613341771</v>
      </c>
      <c r="I436" s="74">
        <f t="shared" si="179"/>
        <v>15.910153613341771</v>
      </c>
      <c r="J436" s="74">
        <f t="shared" si="166"/>
        <v>12.128168042573405</v>
      </c>
      <c r="K436" s="74">
        <f t="shared" si="180"/>
        <v>29.990563968899536</v>
      </c>
      <c r="L436" s="74">
        <f t="shared" si="174"/>
        <v>2.0540791752228045</v>
      </c>
      <c r="M436" s="74">
        <f t="shared" si="168"/>
        <v>3.602054296824678</v>
      </c>
      <c r="N436" s="74">
        <f t="shared" si="175"/>
        <v>-0.1338838050927462</v>
      </c>
      <c r="O436" s="74">
        <f t="shared" si="176"/>
        <v>52.49974487650077</v>
      </c>
      <c r="P436" s="74">
        <f t="shared" si="177"/>
        <v>0.3384106296218469</v>
      </c>
    </row>
    <row r="437" spans="2:16" ht="13.5">
      <c r="B437" s="74">
        <f t="shared" si="169"/>
        <v>41.925254471393224</v>
      </c>
      <c r="C437" s="70">
        <f t="shared" si="178"/>
        <v>55.201</v>
      </c>
      <c r="D437" s="70">
        <f>D436+J408</f>
        <v>85</v>
      </c>
      <c r="E437" s="74">
        <f t="shared" si="170"/>
        <v>0.9634392003933898</v>
      </c>
      <c r="F437" s="74">
        <f t="shared" si="171"/>
        <v>1.4835298641951802</v>
      </c>
      <c r="G437" s="74">
        <f t="shared" si="172"/>
        <v>105.20444756427877</v>
      </c>
      <c r="H437" s="74">
        <f t="shared" si="173"/>
        <v>13.24359644123674</v>
      </c>
      <c r="I437" s="74">
        <f t="shared" si="179"/>
        <v>13.24359644123674</v>
      </c>
      <c r="J437" s="74">
        <f t="shared" si="166"/>
        <v>9.956756386451493</v>
      </c>
      <c r="K437" s="74">
        <f t="shared" si="180"/>
        <v>28.944639396851734</v>
      </c>
      <c r="L437" s="74">
        <f t="shared" si="174"/>
        <v>2.0715324677427476</v>
      </c>
      <c r="M437" s="74">
        <f t="shared" si="168"/>
        <v>3.6359088404790922</v>
      </c>
      <c r="N437" s="74">
        <f t="shared" si="175"/>
        <v>-0.1985330643260647</v>
      </c>
      <c r="O437" s="74">
        <f t="shared" si="176"/>
        <v>51.18128528603446</v>
      </c>
      <c r="P437" s="74">
        <f t="shared" si="177"/>
        <v>0.3669179223875429</v>
      </c>
    </row>
    <row r="438" spans="2:16" ht="13.5">
      <c r="B438" s="74">
        <f t="shared" si="169"/>
        <v>41.36051943261419</v>
      </c>
      <c r="C438" s="70">
        <f t="shared" si="178"/>
        <v>55.201</v>
      </c>
      <c r="D438" s="70">
        <f>D437+J408</f>
        <v>86</v>
      </c>
      <c r="E438" s="74">
        <f t="shared" si="170"/>
        <v>0.9634392003933898</v>
      </c>
      <c r="F438" s="74">
        <f t="shared" si="171"/>
        <v>1.5009831567151233</v>
      </c>
      <c r="G438" s="74">
        <f t="shared" si="172"/>
        <v>105.20444756427877</v>
      </c>
      <c r="H438" s="74">
        <f t="shared" si="173"/>
        <v>10.585171157948913</v>
      </c>
      <c r="I438" s="74">
        <f t="shared" si="179"/>
        <v>10.585171157948913</v>
      </c>
      <c r="J438" s="74">
        <f t="shared" si="166"/>
        <v>7.743460086500027</v>
      </c>
      <c r="K438" s="74">
        <f t="shared" si="180"/>
        <v>27.90190445914594</v>
      </c>
      <c r="L438" s="74">
        <f t="shared" si="174"/>
        <v>2.0889857602626907</v>
      </c>
      <c r="M438" s="74">
        <f t="shared" si="168"/>
        <v>3.6715347939252476</v>
      </c>
      <c r="N438" s="74">
        <f t="shared" si="175"/>
        <v>-0.26442935158799213</v>
      </c>
      <c r="O438" s="74">
        <f t="shared" si="176"/>
        <v>49.88980089906381</v>
      </c>
      <c r="P438" s="74">
        <f t="shared" si="177"/>
        <v>0.3964237068349061</v>
      </c>
    </row>
    <row r="439" spans="2:16" ht="13.5">
      <c r="B439" s="74">
        <f t="shared" si="169"/>
        <v>40.778863943578095</v>
      </c>
      <c r="C439" s="70">
        <f t="shared" si="178"/>
        <v>55.201</v>
      </c>
      <c r="D439" s="70">
        <f>D438+J408</f>
        <v>87</v>
      </c>
      <c r="E439" s="74">
        <f t="shared" si="170"/>
        <v>0.9634392003933898</v>
      </c>
      <c r="F439" s="74">
        <f t="shared" si="171"/>
        <v>1.5184364492350666</v>
      </c>
      <c r="G439" s="74">
        <f t="shared" si="172"/>
        <v>105.20444756427877</v>
      </c>
      <c r="H439" s="74">
        <f t="shared" si="173"/>
        <v>7.933227588970383</v>
      </c>
      <c r="I439" s="74">
        <f t="shared" si="179"/>
        <v>7.933227588970383</v>
      </c>
      <c r="J439" s="74">
        <f t="shared" si="166"/>
        <v>5.4856666823648865</v>
      </c>
      <c r="K439" s="74">
        <f t="shared" si="180"/>
        <v>26.861711894930572</v>
      </c>
      <c r="L439" s="74">
        <f t="shared" si="174"/>
        <v>2.106439052782634</v>
      </c>
      <c r="M439" s="74">
        <f t="shared" si="168"/>
        <v>3.7090067869585464</v>
      </c>
      <c r="N439" s="74">
        <f t="shared" si="175"/>
        <v>-0.3316504474440855</v>
      </c>
      <c r="O439" s="74">
        <f t="shared" si="176"/>
        <v>48.62322048987387</v>
      </c>
      <c r="P439" s="74">
        <f t="shared" si="177"/>
        <v>0.42689225649213436</v>
      </c>
    </row>
    <row r="440" spans="2:16" ht="13.5">
      <c r="B440" s="74">
        <f t="shared" si="169"/>
        <v>40.180127361269435</v>
      </c>
      <c r="C440" s="70">
        <f t="shared" si="178"/>
        <v>55.201</v>
      </c>
      <c r="D440" s="70">
        <f>D439+J408</f>
        <v>88</v>
      </c>
      <c r="E440" s="74">
        <f t="shared" si="170"/>
        <v>0.9634392003933898</v>
      </c>
      <c r="F440" s="74">
        <f t="shared" si="171"/>
        <v>1.53588974175501</v>
      </c>
      <c r="G440" s="74">
        <f t="shared" si="172"/>
        <v>105.20444756427877</v>
      </c>
      <c r="H440" s="74">
        <f t="shared" si="173"/>
        <v>5.286131481813329</v>
      </c>
      <c r="I440" s="74">
        <f t="shared" si="179"/>
        <v>5.286131481813329</v>
      </c>
      <c r="J440" s="74">
        <f t="shared" si="166"/>
        <v>3.180602221976846</v>
      </c>
      <c r="K440" s="74">
        <f t="shared" si="180"/>
        <v>25.823420688572526</v>
      </c>
      <c r="L440" s="74">
        <f t="shared" si="174"/>
        <v>2.1238923453025773</v>
      </c>
      <c r="M440" s="74">
        <f t="shared" si="168"/>
        <v>3.7484051255774977</v>
      </c>
      <c r="N440" s="74">
        <f t="shared" si="175"/>
        <v>-0.4002789405393484</v>
      </c>
      <c r="O440" s="74">
        <f t="shared" si="176"/>
        <v>47.37953842874738</v>
      </c>
      <c r="P440" s="74">
        <f t="shared" si="177"/>
        <v>0.4582800997967629</v>
      </c>
    </row>
    <row r="441" spans="2:16" ht="13.5">
      <c r="B441" s="74">
        <f t="shared" si="169"/>
        <v>39.56410549310343</v>
      </c>
      <c r="C441" s="70">
        <f t="shared" si="178"/>
        <v>55.201</v>
      </c>
      <c r="D441" s="70">
        <f>D440+J408</f>
        <v>89</v>
      </c>
      <c r="E441" s="74">
        <f t="shared" si="170"/>
        <v>0.9634392003933898</v>
      </c>
      <c r="F441" s="74">
        <f t="shared" si="171"/>
        <v>1.5533430342749535</v>
      </c>
      <c r="G441" s="74">
        <f t="shared" si="172"/>
        <v>105.20444756427877</v>
      </c>
      <c r="H441" s="74">
        <f t="shared" si="173"/>
        <v>2.642260453508916</v>
      </c>
      <c r="I441" s="74">
        <f t="shared" si="179"/>
        <v>2.642260453508916</v>
      </c>
      <c r="J441" s="74">
        <f t="shared" si="166"/>
        <v>0.8253164850416557</v>
      </c>
      <c r="K441" s="74">
        <f t="shared" si="180"/>
        <v>24.78639448011291</v>
      </c>
      <c r="L441" s="74">
        <f t="shared" si="174"/>
        <v>2.141345637822521</v>
      </c>
      <c r="M441" s="74">
        <f t="shared" si="168"/>
        <v>3.7898162648555984</v>
      </c>
      <c r="N441" s="74">
        <f t="shared" si="175"/>
        <v>-0.47040266753803595</v>
      </c>
      <c r="O441" s="74">
        <f t="shared" si="176"/>
        <v>46.15680679920497</v>
      </c>
      <c r="P441" s="74">
        <f t="shared" si="177"/>
        <v>0.49053560938581175</v>
      </c>
    </row>
    <row r="442" spans="2:16" ht="13.5">
      <c r="B442" s="74">
        <f t="shared" si="169"/>
        <v>38.93055070535813</v>
      </c>
      <c r="C442" s="70">
        <f t="shared" si="178"/>
        <v>55.201</v>
      </c>
      <c r="D442" s="70">
        <f>D441+J408</f>
        <v>90</v>
      </c>
      <c r="E442" s="74">
        <f t="shared" si="170"/>
        <v>0.9634392003933898</v>
      </c>
      <c r="F442" s="74">
        <f t="shared" si="171"/>
        <v>1.5707963267948966</v>
      </c>
      <c r="G442" s="74">
        <f t="shared" si="172"/>
        <v>105.20444756427877</v>
      </c>
      <c r="H442" s="74">
        <f t="shared" si="173"/>
        <v>9.272842368089618E-15</v>
      </c>
      <c r="I442" s="74">
        <f t="shared" si="179"/>
        <v>9.272842368089618E-15</v>
      </c>
      <c r="J442" s="74">
        <f t="shared" si="166"/>
        <v>-1.5833333333333073</v>
      </c>
      <c r="K442" s="74">
        <f t="shared" si="180"/>
        <v>23.750000000000007</v>
      </c>
      <c r="L442" s="74">
        <f t="shared" si="174"/>
        <v>2.158798930342464</v>
      </c>
      <c r="M442" s="74">
        <f t="shared" si="168"/>
        <v>3.8333333333333317</v>
      </c>
      <c r="N442" s="74">
        <f t="shared" si="175"/>
        <v>-0.5421151989096857</v>
      </c>
      <c r="O442" s="74">
        <f t="shared" si="176"/>
        <v>44.95312785887778</v>
      </c>
      <c r="P442" s="74">
        <f t="shared" si="177"/>
        <v>0.5235987755982986</v>
      </c>
    </row>
    <row r="443" spans="2:16" ht="13.5">
      <c r="B443" s="74">
        <f t="shared" si="169"/>
        <v>41.96045925194627</v>
      </c>
      <c r="C443" s="70">
        <f>C442+J407</f>
        <v>56.161</v>
      </c>
      <c r="D443" s="70">
        <f>D412</f>
        <v>60</v>
      </c>
      <c r="E443" s="74">
        <f t="shared" si="170"/>
        <v>0.9801943612125354</v>
      </c>
      <c r="F443" s="74">
        <f t="shared" si="171"/>
        <v>1.0471975511965976</v>
      </c>
      <c r="G443" s="74">
        <f t="shared" si="172"/>
        <v>101.48601230194029</v>
      </c>
      <c r="H443" s="74">
        <f t="shared" si="173"/>
        <v>56.61327536344993</v>
      </c>
      <c r="I443" s="74">
        <f t="shared" si="179"/>
        <v>87.39639699857963</v>
      </c>
      <c r="J443" s="74">
        <f t="shared" si="166"/>
        <v>56.61327536344993</v>
      </c>
      <c r="K443" s="74">
        <f t="shared" si="180"/>
        <v>58.03017223313404</v>
      </c>
      <c r="L443" s="74">
        <f t="shared" si="174"/>
        <v>1.6352001547441652</v>
      </c>
      <c r="M443" s="74">
        <f t="shared" si="168"/>
        <v>3.196152422706631</v>
      </c>
      <c r="N443" s="74">
        <f t="shared" si="175"/>
        <v>1.1905676074715958</v>
      </c>
      <c r="O443" s="74">
        <f t="shared" si="176"/>
        <v>83.92091850389255</v>
      </c>
      <c r="P443" s="74">
        <f t="shared" si="177"/>
        <v>0.3656310920381898</v>
      </c>
    </row>
    <row r="444" spans="2:16" ht="13.5">
      <c r="B444" s="74">
        <f t="shared" si="169"/>
        <v>42.27068767053849</v>
      </c>
      <c r="C444" s="70">
        <f aca="true" t="shared" si="181" ref="C444:C473">C443</f>
        <v>56.161</v>
      </c>
      <c r="D444" s="70">
        <f aca="true" t="shared" si="182" ref="D444:D473">D413</f>
        <v>61</v>
      </c>
      <c r="E444" s="74">
        <f t="shared" si="170"/>
        <v>0.9801943612125354</v>
      </c>
      <c r="F444" s="74">
        <f t="shared" si="171"/>
        <v>1.064650843716541</v>
      </c>
      <c r="G444" s="74">
        <f t="shared" si="172"/>
        <v>101.48601230194029</v>
      </c>
      <c r="H444" s="74">
        <f t="shared" si="173"/>
        <v>54.91741842603781</v>
      </c>
      <c r="I444" s="74">
        <f t="shared" si="179"/>
        <v>83.90853266366291</v>
      </c>
      <c r="J444" s="74">
        <f aca="true" t="shared" si="183" ref="J444:J477">0.5*$J$18*N444*$D$3+$G$18</f>
        <v>54.91741842603781</v>
      </c>
      <c r="K444" s="74">
        <f t="shared" si="180"/>
        <v>56.662099930008154</v>
      </c>
      <c r="L444" s="74">
        <f t="shared" si="174"/>
        <v>1.6526534472641083</v>
      </c>
      <c r="M444" s="74">
        <f aca="true" t="shared" si="184" ref="M444:M475">J$18/SIN(L444)*SIN(J$19)</f>
        <v>3.200241894286732</v>
      </c>
      <c r="N444" s="74">
        <f t="shared" si="175"/>
        <v>1.1400769994561701</v>
      </c>
      <c r="O444" s="74">
        <f t="shared" si="176"/>
        <v>82.07293738025216</v>
      </c>
      <c r="P444" s="74">
        <f t="shared" si="177"/>
        <v>0.35005874805432813</v>
      </c>
    </row>
    <row r="445" spans="2:16" ht="13.5">
      <c r="B445" s="74">
        <f t="shared" si="169"/>
        <v>42.54633364583889</v>
      </c>
      <c r="C445" s="70">
        <f t="shared" si="181"/>
        <v>56.161</v>
      </c>
      <c r="D445" s="70">
        <f t="shared" si="182"/>
        <v>62</v>
      </c>
      <c r="E445" s="74">
        <f t="shared" si="170"/>
        <v>0.9801943612125354</v>
      </c>
      <c r="F445" s="74">
        <f t="shared" si="171"/>
        <v>1.0821041362364843</v>
      </c>
      <c r="G445" s="74">
        <f t="shared" si="172"/>
        <v>101.48601230194029</v>
      </c>
      <c r="H445" s="74">
        <f t="shared" si="173"/>
        <v>53.21669751699319</v>
      </c>
      <c r="I445" s="74">
        <f t="shared" si="179"/>
        <v>80.48751521775635</v>
      </c>
      <c r="J445" s="74">
        <f t="shared" si="183"/>
        <v>53.21669751699319</v>
      </c>
      <c r="K445" s="74">
        <f t="shared" si="180"/>
        <v>55.3202475049003</v>
      </c>
      <c r="L445" s="74">
        <f t="shared" si="174"/>
        <v>1.6701067397840519</v>
      </c>
      <c r="M445" s="74">
        <f t="shared" si="184"/>
        <v>3.205319466443784</v>
      </c>
      <c r="N445" s="74">
        <f t="shared" si="175"/>
        <v>1.0894415768165406</v>
      </c>
      <c r="O445" s="74">
        <f t="shared" si="176"/>
        <v>80.28833167143601</v>
      </c>
      <c r="P445" s="74">
        <f t="shared" si="177"/>
        <v>0.3362654603505528</v>
      </c>
    </row>
    <row r="446" spans="2:16" ht="13.5">
      <c r="B446" s="74">
        <f t="shared" si="169"/>
        <v>42.78855985457301</v>
      </c>
      <c r="C446" s="70">
        <f t="shared" si="181"/>
        <v>56.161</v>
      </c>
      <c r="D446" s="70">
        <f t="shared" si="182"/>
        <v>63</v>
      </c>
      <c r="E446" s="74">
        <f t="shared" si="170"/>
        <v>0.9801943612125354</v>
      </c>
      <c r="F446" s="74">
        <f t="shared" si="171"/>
        <v>1.0995574287564276</v>
      </c>
      <c r="G446" s="74">
        <f t="shared" si="172"/>
        <v>101.48601230194029</v>
      </c>
      <c r="H446" s="74">
        <f t="shared" si="173"/>
        <v>51.51005054407396</v>
      </c>
      <c r="I446" s="74">
        <f t="shared" si="179"/>
        <v>77.12941491721917</v>
      </c>
      <c r="J446" s="74">
        <f t="shared" si="183"/>
        <v>51.51005054407396</v>
      </c>
      <c r="K446" s="74">
        <f t="shared" si="180"/>
        <v>54.00307356373172</v>
      </c>
      <c r="L446" s="74">
        <f t="shared" si="174"/>
        <v>1.687560032303995</v>
      </c>
      <c r="M446" s="74">
        <f t="shared" si="184"/>
        <v>3.2113929525108333</v>
      </c>
      <c r="N446" s="74">
        <f t="shared" si="175"/>
        <v>1.0386297179684278</v>
      </c>
      <c r="O446" s="74">
        <f t="shared" si="176"/>
        <v>78.56315303105741</v>
      </c>
      <c r="P446" s="74">
        <f t="shared" si="177"/>
        <v>0.3241821786924301</v>
      </c>
    </row>
    <row r="447" spans="2:16" ht="13.5">
      <c r="B447" s="74">
        <f t="shared" si="169"/>
        <v>42.9984055635903</v>
      </c>
      <c r="C447" s="70">
        <f t="shared" si="181"/>
        <v>56.161</v>
      </c>
      <c r="D447" s="70">
        <f t="shared" si="182"/>
        <v>64</v>
      </c>
      <c r="E447" s="74">
        <f t="shared" si="170"/>
        <v>0.9801943612125354</v>
      </c>
      <c r="F447" s="74">
        <f t="shared" si="171"/>
        <v>1.117010721276371</v>
      </c>
      <c r="G447" s="74">
        <f t="shared" si="172"/>
        <v>101.48601230194029</v>
      </c>
      <c r="H447" s="74">
        <f t="shared" si="173"/>
        <v>49.7964007486329</v>
      </c>
      <c r="I447" s="74">
        <f t="shared" si="179"/>
        <v>73.83052059415728</v>
      </c>
      <c r="J447" s="74">
        <f t="shared" si="183"/>
        <v>49.7964007486329</v>
      </c>
      <c r="K447" s="74">
        <f t="shared" si="180"/>
        <v>52.70912244609802</v>
      </c>
      <c r="L447" s="74">
        <f t="shared" si="174"/>
        <v>1.7050133248239385</v>
      </c>
      <c r="M447" s="74">
        <f t="shared" si="184"/>
        <v>3.21847173736185</v>
      </c>
      <c r="N447" s="74">
        <f t="shared" si="175"/>
        <v>0.9876093646658881</v>
      </c>
      <c r="O447" s="74">
        <f t="shared" si="176"/>
        <v>76.89368963145235</v>
      </c>
      <c r="P447" s="74">
        <f t="shared" si="177"/>
        <v>0.31374539593140066</v>
      </c>
    </row>
    <row r="448" spans="2:16" ht="13.5">
      <c r="B448" s="74">
        <f t="shared" si="169"/>
        <v>43.176794502716774</v>
      </c>
      <c r="C448" s="70">
        <f t="shared" si="181"/>
        <v>56.161</v>
      </c>
      <c r="D448" s="70">
        <f t="shared" si="182"/>
        <v>65</v>
      </c>
      <c r="E448" s="74">
        <f t="shared" si="170"/>
        <v>0.9801943612125354</v>
      </c>
      <c r="F448" s="74">
        <f t="shared" si="171"/>
        <v>1.1344640137963142</v>
      </c>
      <c r="G448" s="74">
        <f t="shared" si="172"/>
        <v>101.48601230194029</v>
      </c>
      <c r="H448" s="74">
        <f t="shared" si="173"/>
        <v>48.07465394252364</v>
      </c>
      <c r="I448" s="74">
        <f t="shared" si="179"/>
        <v>70.58732175321292</v>
      </c>
      <c r="J448" s="74">
        <f t="shared" si="183"/>
        <v>48.07465394252364</v>
      </c>
      <c r="K448" s="74">
        <f t="shared" si="180"/>
        <v>51.43701720295304</v>
      </c>
      <c r="L448" s="74">
        <f t="shared" si="174"/>
        <v>1.7224666173438816</v>
      </c>
      <c r="M448" s="74">
        <f t="shared" si="184"/>
        <v>3.2265668130425462</v>
      </c>
      <c r="N448" s="74">
        <f t="shared" si="175"/>
        <v>0.9363479397359457</v>
      </c>
      <c r="O448" s="74">
        <f t="shared" si="176"/>
        <v>75.2764440209522</v>
      </c>
      <c r="P448" s="74">
        <f t="shared" si="177"/>
        <v>0.3048976140526095</v>
      </c>
    </row>
    <row r="449" spans="2:16" ht="13.5">
      <c r="B449" s="74">
        <f t="shared" si="169"/>
        <v>43.32454176252795</v>
      </c>
      <c r="C449" s="70">
        <f t="shared" si="181"/>
        <v>56.161</v>
      </c>
      <c r="D449" s="70">
        <f t="shared" si="182"/>
        <v>66</v>
      </c>
      <c r="E449" s="74">
        <f t="shared" si="170"/>
        <v>0.9801943612125354</v>
      </c>
      <c r="F449" s="74">
        <f t="shared" si="171"/>
        <v>1.1519173063162575</v>
      </c>
      <c r="G449" s="74">
        <f t="shared" si="172"/>
        <v>101.48601230194029</v>
      </c>
      <c r="H449" s="74">
        <f t="shared" si="173"/>
        <v>46.34369565210348</v>
      </c>
      <c r="I449" s="74">
        <f t="shared" si="179"/>
        <v>67.39649223857965</v>
      </c>
      <c r="J449" s="74">
        <f t="shared" si="183"/>
        <v>46.34369565210348</v>
      </c>
      <c r="K449" s="74">
        <f t="shared" si="180"/>
        <v>50.18545319019432</v>
      </c>
      <c r="L449" s="74">
        <f t="shared" si="174"/>
        <v>1.7399199098638252</v>
      </c>
      <c r="M449" s="74">
        <f t="shared" si="184"/>
        <v>3.235690820800044</v>
      </c>
      <c r="N449" s="74">
        <f t="shared" si="175"/>
        <v>0.8848122620472225</v>
      </c>
      <c r="O449" s="74">
        <f t="shared" si="176"/>
        <v>73.70811294355221</v>
      </c>
      <c r="P449" s="74">
        <f t="shared" si="177"/>
        <v>0.2975876224631013</v>
      </c>
    </row>
    <row r="450" spans="2:16" ht="13.5">
      <c r="B450" s="74">
        <f t="shared" si="169"/>
        <v>43.44235980898827</v>
      </c>
      <c r="C450" s="70">
        <f t="shared" si="181"/>
        <v>56.161</v>
      </c>
      <c r="D450" s="70">
        <f t="shared" si="182"/>
        <v>67</v>
      </c>
      <c r="E450" s="74">
        <f t="shared" si="170"/>
        <v>0.9801943612125354</v>
      </c>
      <c r="F450" s="74">
        <f t="shared" si="171"/>
        <v>1.1693705988362006</v>
      </c>
      <c r="G450" s="74">
        <f t="shared" si="172"/>
        <v>101.48601230194029</v>
      </c>
      <c r="H450" s="74">
        <f t="shared" si="173"/>
        <v>44.602388153158174</v>
      </c>
      <c r="I450" s="74">
        <f t="shared" si="179"/>
        <v>64.25487530372895</v>
      </c>
      <c r="J450" s="74">
        <f t="shared" si="183"/>
        <v>44.602388153158174</v>
      </c>
      <c r="K450" s="74">
        <f t="shared" si="180"/>
        <v>48.95319221244529</v>
      </c>
      <c r="L450" s="74">
        <f t="shared" si="174"/>
        <v>1.7573732023837683</v>
      </c>
      <c r="M450" s="74">
        <f t="shared" si="184"/>
        <v>3.2458580998131934</v>
      </c>
      <c r="N450" s="74">
        <f t="shared" si="175"/>
        <v>0.8329684582310031</v>
      </c>
      <c r="O450" s="74">
        <f t="shared" si="176"/>
        <v>72.18556888370098</v>
      </c>
      <c r="P450" s="74">
        <f t="shared" si="177"/>
        <v>0.29177063705593326</v>
      </c>
    </row>
    <row r="451" spans="2:16" ht="13.5">
      <c r="B451" s="74">
        <f t="shared" si="169"/>
        <v>43.530863693542386</v>
      </c>
      <c r="C451" s="70">
        <f t="shared" si="181"/>
        <v>56.161</v>
      </c>
      <c r="D451" s="70">
        <f t="shared" si="182"/>
        <v>68</v>
      </c>
      <c r="E451" s="74">
        <f t="shared" si="170"/>
        <v>0.9801943612125354</v>
      </c>
      <c r="F451" s="74">
        <f t="shared" si="171"/>
        <v>1.1868238913561442</v>
      </c>
      <c r="G451" s="74">
        <f t="shared" si="172"/>
        <v>101.48601230194029</v>
      </c>
      <c r="H451" s="74">
        <f t="shared" si="173"/>
        <v>42.84956737955771</v>
      </c>
      <c r="I451" s="74">
        <f t="shared" si="179"/>
        <v>61.15946993579685</v>
      </c>
      <c r="J451" s="74">
        <f t="shared" si="183"/>
        <v>42.84956737955771</v>
      </c>
      <c r="K451" s="74">
        <f t="shared" si="180"/>
        <v>47.739057158962424</v>
      </c>
      <c r="L451" s="74">
        <f t="shared" si="174"/>
        <v>1.7748264949037118</v>
      </c>
      <c r="M451" s="74">
        <f t="shared" si="184"/>
        <v>3.2570847429771757</v>
      </c>
      <c r="N451" s="74">
        <f t="shared" si="175"/>
        <v>0.7807818706428962</v>
      </c>
      <c r="O451" s="74">
        <f t="shared" si="176"/>
        <v>70.70584312672226</v>
      </c>
      <c r="P451" s="74">
        <f t="shared" si="177"/>
        <v>0.2874083385026794</v>
      </c>
    </row>
    <row r="452" spans="2:16" ht="13.5">
      <c r="B452" s="74">
        <f t="shared" si="169"/>
        <v>43.59057552552918</v>
      </c>
      <c r="C452" s="70">
        <f t="shared" si="181"/>
        <v>56.161</v>
      </c>
      <c r="D452" s="70">
        <f t="shared" si="182"/>
        <v>69</v>
      </c>
      <c r="E452" s="74">
        <f t="shared" si="170"/>
        <v>0.9801943612125354</v>
      </c>
      <c r="F452" s="74">
        <f t="shared" si="171"/>
        <v>1.2042771838760873</v>
      </c>
      <c r="G452" s="74">
        <f t="shared" si="172"/>
        <v>101.48601230194029</v>
      </c>
      <c r="H452" s="74">
        <f t="shared" si="173"/>
        <v>41.08403968726031</v>
      </c>
      <c r="I452" s="74">
        <f t="shared" si="179"/>
        <v>58.107418303486085</v>
      </c>
      <c r="J452" s="74">
        <f t="shared" si="183"/>
        <v>41.08403968726031</v>
      </c>
      <c r="K452" s="74">
        <f t="shared" si="180"/>
        <v>46.54192708022782</v>
      </c>
      <c r="L452" s="74">
        <f t="shared" si="174"/>
        <v>1.792279787423655</v>
      </c>
      <c r="M452" s="74">
        <f t="shared" si="184"/>
        <v>3.2693886601519666</v>
      </c>
      <c r="N452" s="74">
        <f t="shared" si="175"/>
        <v>0.7282169610177962</v>
      </c>
      <c r="O452" s="74">
        <f t="shared" si="176"/>
        <v>69.26611014909437</v>
      </c>
      <c r="P452" s="74">
        <f t="shared" si="177"/>
        <v>0.28446883946882484</v>
      </c>
    </row>
    <row r="453" spans="2:16" ht="13.5">
      <c r="B453" s="74">
        <f t="shared" si="169"/>
        <v>43.62192826344598</v>
      </c>
      <c r="C453" s="70">
        <f t="shared" si="181"/>
        <v>56.161</v>
      </c>
      <c r="D453" s="70">
        <f t="shared" si="182"/>
        <v>70</v>
      </c>
      <c r="E453" s="74">
        <f t="shared" si="170"/>
        <v>0.9801943612125354</v>
      </c>
      <c r="F453" s="74">
        <f t="shared" si="171"/>
        <v>1.2217304763960306</v>
      </c>
      <c r="G453" s="74">
        <f t="shared" si="172"/>
        <v>101.48601230194029</v>
      </c>
      <c r="H453" s="74">
        <f t="shared" si="173"/>
        <v>39.30457845389725</v>
      </c>
      <c r="I453" s="74">
        <f t="shared" si="179"/>
        <v>55.09599421204639</v>
      </c>
      <c r="J453" s="74">
        <f t="shared" si="183"/>
        <v>39.30457845389725</v>
      </c>
      <c r="K453" s="74">
        <f t="shared" si="180"/>
        <v>45.360732659555765</v>
      </c>
      <c r="L453" s="74">
        <f t="shared" si="174"/>
        <v>1.809733079943598</v>
      </c>
      <c r="M453" s="74">
        <f t="shared" si="184"/>
        <v>3.2827896493451227</v>
      </c>
      <c r="N453" s="74">
        <f t="shared" si="175"/>
        <v>0.6752372092296027</v>
      </c>
      <c r="O453" s="74">
        <f t="shared" si="176"/>
        <v>67.86367317303856</v>
      </c>
      <c r="P453" s="74">
        <f t="shared" si="177"/>
        <v>0.2829266029934345</v>
      </c>
    </row>
    <row r="454" spans="2:16" ht="13.5">
      <c r="B454" s="74">
        <f t="shared" si="169"/>
        <v>43.62526887237851</v>
      </c>
      <c r="C454" s="70">
        <f t="shared" si="181"/>
        <v>56.161</v>
      </c>
      <c r="D454" s="70">
        <f t="shared" si="182"/>
        <v>71</v>
      </c>
      <c r="E454" s="74">
        <f t="shared" si="170"/>
        <v>0.9801943612125354</v>
      </c>
      <c r="F454" s="74">
        <f t="shared" si="171"/>
        <v>1.239183768915974</v>
      </c>
      <c r="G454" s="74">
        <f t="shared" si="172"/>
        <v>101.48601230194029</v>
      </c>
      <c r="H454" s="74">
        <f t="shared" si="173"/>
        <v>37.50992049257642</v>
      </c>
      <c r="I454" s="74">
        <f t="shared" si="179"/>
        <v>52.12259246172309</v>
      </c>
      <c r="J454" s="74">
        <f t="shared" si="183"/>
        <v>37.50992049257642</v>
      </c>
      <c r="K454" s="74">
        <f t="shared" si="180"/>
        <v>44.19445203907388</v>
      </c>
      <c r="L454" s="74">
        <f t="shared" si="174"/>
        <v>1.8271863724635415</v>
      </c>
      <c r="M454" s="74">
        <f t="shared" si="184"/>
        <v>3.297309476365921</v>
      </c>
      <c r="N454" s="74">
        <f t="shared" si="175"/>
        <v>0.6218050065196917</v>
      </c>
      <c r="O454" s="74">
        <f t="shared" si="176"/>
        <v>66.49595073709402</v>
      </c>
      <c r="P454" s="74">
        <f t="shared" si="177"/>
        <v>0.28276232799508483</v>
      </c>
    </row>
    <row r="455" spans="2:16" ht="13.5">
      <c r="B455" s="74">
        <f t="shared" si="169"/>
        <v>43.60086088663587</v>
      </c>
      <c r="C455" s="70">
        <f t="shared" si="181"/>
        <v>56.161</v>
      </c>
      <c r="D455" s="70">
        <f t="shared" si="182"/>
        <v>72</v>
      </c>
      <c r="E455" s="74">
        <f t="shared" si="170"/>
        <v>0.9801943612125354</v>
      </c>
      <c r="F455" s="74">
        <f t="shared" si="171"/>
        <v>1.2566370614359172</v>
      </c>
      <c r="G455" s="74">
        <f t="shared" si="172"/>
        <v>101.48601230194029</v>
      </c>
      <c r="H455" s="74">
        <f t="shared" si="173"/>
        <v>35.698762256707205</v>
      </c>
      <c r="I455" s="74">
        <f t="shared" si="179"/>
        <v>49.18471901725621</v>
      </c>
      <c r="J455" s="74">
        <f t="shared" si="183"/>
        <v>35.698762256707205</v>
      </c>
      <c r="K455" s="74">
        <f t="shared" si="180"/>
        <v>43.042106963828815</v>
      </c>
      <c r="L455" s="74">
        <f t="shared" si="174"/>
        <v>1.8446396649834846</v>
      </c>
      <c r="M455" s="74">
        <f t="shared" si="184"/>
        <v>3.3129719635610875</v>
      </c>
      <c r="N455" s="74">
        <f t="shared" si="175"/>
        <v>0.5678815425034818</v>
      </c>
      <c r="O455" s="74">
        <f t="shared" si="176"/>
        <v>65.16046414898634</v>
      </c>
      <c r="P455" s="74">
        <f t="shared" si="177"/>
        <v>0.28396281257599276</v>
      </c>
    </row>
    <row r="456" spans="2:16" ht="13.5">
      <c r="B456" s="74">
        <f t="shared" si="169"/>
        <v>43.54888640910918</v>
      </c>
      <c r="C456" s="70">
        <f t="shared" si="181"/>
        <v>56.161</v>
      </c>
      <c r="D456" s="70">
        <f t="shared" si="182"/>
        <v>73</v>
      </c>
      <c r="E456" s="74">
        <f t="shared" si="170"/>
        <v>0.9801943612125354</v>
      </c>
      <c r="F456" s="74">
        <f t="shared" si="171"/>
        <v>1.2740903539558606</v>
      </c>
      <c r="G456" s="74">
        <f t="shared" si="172"/>
        <v>101.48601230194029</v>
      </c>
      <c r="H456" s="74">
        <f t="shared" si="173"/>
        <v>33.86975581055276</v>
      </c>
      <c r="I456" s="74">
        <f t="shared" si="179"/>
        <v>46.27998190580472</v>
      </c>
      <c r="J456" s="74">
        <f t="shared" si="183"/>
        <v>33.86975581055276</v>
      </c>
      <c r="K456" s="74">
        <f t="shared" si="180"/>
        <v>41.90275921160796</v>
      </c>
      <c r="L456" s="74">
        <f t="shared" si="174"/>
        <v>1.8620929575034282</v>
      </c>
      <c r="M456" s="74">
        <f t="shared" si="184"/>
        <v>3.3298030883232532</v>
      </c>
      <c r="N456" s="74">
        <f t="shared" si="175"/>
        <v>0.5134266852020202</v>
      </c>
      <c r="O456" s="74">
        <f t="shared" si="176"/>
        <v>63.85482569946114</v>
      </c>
      <c r="P456" s="74">
        <f t="shared" si="177"/>
        <v>0.2865208012936354</v>
      </c>
    </row>
    <row r="457" spans="2:16" ht="13.5">
      <c r="B457" s="74">
        <f t="shared" si="169"/>
        <v>43.46944757195779</v>
      </c>
      <c r="C457" s="70">
        <f t="shared" si="181"/>
        <v>56.161</v>
      </c>
      <c r="D457" s="70">
        <f t="shared" si="182"/>
        <v>74</v>
      </c>
      <c r="E457" s="74">
        <f t="shared" si="170"/>
        <v>0.9801943612125354</v>
      </c>
      <c r="F457" s="74">
        <f t="shared" si="171"/>
        <v>1.2915436464758039</v>
      </c>
      <c r="G457" s="74">
        <f t="shared" si="172"/>
        <v>101.48601230194029</v>
      </c>
      <c r="H457" s="74">
        <f t="shared" si="173"/>
        <v>32.02150453781869</v>
      </c>
      <c r="I457" s="74">
        <f t="shared" si="179"/>
        <v>43.40608276923955</v>
      </c>
      <c r="J457" s="74">
        <f t="shared" si="183"/>
        <v>32.02150453781869</v>
      </c>
      <c r="K457" s="74">
        <f t="shared" si="180"/>
        <v>40.77550727942922</v>
      </c>
      <c r="L457" s="74">
        <f t="shared" si="174"/>
        <v>1.8795462500233713</v>
      </c>
      <c r="M457" s="74">
        <f t="shared" si="184"/>
        <v>3.347831092152982</v>
      </c>
      <c r="N457" s="74">
        <f t="shared" si="175"/>
        <v>0.4583988532741495</v>
      </c>
      <c r="O457" s="74">
        <f t="shared" si="176"/>
        <v>62.576727526129474</v>
      </c>
      <c r="P457" s="74">
        <f t="shared" si="177"/>
        <v>0.29043481865524856</v>
      </c>
    </row>
    <row r="458" spans="2:16" ht="13.5">
      <c r="B458" s="74">
        <f t="shared" si="169"/>
        <v>43.36256747677976</v>
      </c>
      <c r="C458" s="70">
        <f t="shared" si="181"/>
        <v>56.161</v>
      </c>
      <c r="D458" s="70">
        <f t="shared" si="182"/>
        <v>75</v>
      </c>
      <c r="E458" s="74">
        <f t="shared" si="170"/>
        <v>0.9801943612125354</v>
      </c>
      <c r="F458" s="74">
        <f t="shared" si="171"/>
        <v>1.3089969389957472</v>
      </c>
      <c r="G458" s="74">
        <f t="shared" si="172"/>
        <v>101.48601230194029</v>
      </c>
      <c r="H458" s="74">
        <f t="shared" si="173"/>
        <v>30.152558557855457</v>
      </c>
      <c r="I458" s="74">
        <f t="shared" si="179"/>
        <v>40.560809004261195</v>
      </c>
      <c r="J458" s="74">
        <f t="shared" si="183"/>
        <v>30.152558557855457</v>
      </c>
      <c r="K458" s="74">
        <f t="shared" si="180"/>
        <v>39.65948330059791</v>
      </c>
      <c r="L458" s="74">
        <f t="shared" si="174"/>
        <v>1.8969995425433148</v>
      </c>
      <c r="M458" s="74">
        <f t="shared" si="184"/>
        <v>3.3670866011551928</v>
      </c>
      <c r="N458" s="74">
        <f t="shared" si="175"/>
        <v>0.4027548795434824</v>
      </c>
      <c r="O458" s="74">
        <f t="shared" si="176"/>
        <v>61.32393102498041</v>
      </c>
      <c r="P458" s="74">
        <f t="shared" si="177"/>
        <v>0.2957089875812005</v>
      </c>
    </row>
    <row r="459" spans="2:16" ht="13.5">
      <c r="B459" s="74">
        <f t="shared" si="169"/>
        <v>43.22819062632203</v>
      </c>
      <c r="C459" s="70">
        <f t="shared" si="181"/>
        <v>56.161</v>
      </c>
      <c r="D459" s="70">
        <f t="shared" si="182"/>
        <v>76</v>
      </c>
      <c r="E459" s="74">
        <f t="shared" si="170"/>
        <v>0.9801943612125354</v>
      </c>
      <c r="F459" s="74">
        <f t="shared" si="171"/>
        <v>1.3264502315156903</v>
      </c>
      <c r="G459" s="74">
        <f t="shared" si="172"/>
        <v>101.48601230194029</v>
      </c>
      <c r="H459" s="74">
        <f t="shared" si="173"/>
        <v>28.2614098159386</v>
      </c>
      <c r="I459" s="74">
        <f t="shared" si="179"/>
        <v>37.7420264303865</v>
      </c>
      <c r="J459" s="74">
        <f t="shared" si="183"/>
        <v>28.2614098159386</v>
      </c>
      <c r="K459" s="74">
        <f t="shared" si="180"/>
        <v>38.55385016881386</v>
      </c>
      <c r="L459" s="74">
        <f t="shared" si="174"/>
        <v>1.914452835063258</v>
      </c>
      <c r="M459" s="74">
        <f t="shared" si="184"/>
        <v>3.3876027589624966</v>
      </c>
      <c r="N459" s="74">
        <f t="shared" si="175"/>
        <v>0.34644986482172163</v>
      </c>
      <c r="O459" s="74">
        <f t="shared" si="176"/>
        <v>60.094256714241375</v>
      </c>
      <c r="P459" s="74">
        <f t="shared" si="177"/>
        <v>0.30235282831482735</v>
      </c>
    </row>
    <row r="460" spans="2:16" ht="13.5">
      <c r="B460" s="74">
        <f t="shared" si="169"/>
        <v>43.06618285391455</v>
      </c>
      <c r="C460" s="70">
        <f t="shared" si="181"/>
        <v>56.161</v>
      </c>
      <c r="D460" s="70">
        <f t="shared" si="182"/>
        <v>77</v>
      </c>
      <c r="E460" s="74">
        <f t="shared" si="170"/>
        <v>0.9801943612125354</v>
      </c>
      <c r="F460" s="74">
        <f t="shared" si="171"/>
        <v>1.3439035240356338</v>
      </c>
      <c r="G460" s="74">
        <f t="shared" si="172"/>
        <v>101.48601230194029</v>
      </c>
      <c r="H460" s="74">
        <f t="shared" si="173"/>
        <v>26.34648681054474</v>
      </c>
      <c r="I460" s="74">
        <f t="shared" si="179"/>
        <v>34.9476724316321</v>
      </c>
      <c r="J460" s="74">
        <f t="shared" si="183"/>
        <v>26.34648681054474</v>
      </c>
      <c r="K460" s="74">
        <f t="shared" si="180"/>
        <v>37.4577988480803</v>
      </c>
      <c r="L460" s="74">
        <f t="shared" si="174"/>
        <v>1.9319061275832015</v>
      </c>
      <c r="M460" s="74">
        <f t="shared" si="184"/>
        <v>3.409415373203253</v>
      </c>
      <c r="N460" s="74">
        <f t="shared" si="175"/>
        <v>0.2894370209242849</v>
      </c>
      <c r="O460" s="74">
        <f t="shared" si="176"/>
        <v>58.885574460850826</v>
      </c>
      <c r="P460" s="74">
        <f t="shared" si="177"/>
        <v>0.3103810300900461</v>
      </c>
    </row>
    <row r="461" spans="2:16" ht="13.5">
      <c r="B461" s="74">
        <f t="shared" si="169"/>
        <v>42.876330751066256</v>
      </c>
      <c r="C461" s="70">
        <f t="shared" si="181"/>
        <v>56.161</v>
      </c>
      <c r="D461" s="70">
        <f t="shared" si="182"/>
        <v>78</v>
      </c>
      <c r="E461" s="74">
        <f t="shared" si="170"/>
        <v>0.9801943612125354</v>
      </c>
      <c r="F461" s="74">
        <f t="shared" si="171"/>
        <v>1.361356816555577</v>
      </c>
      <c r="G461" s="74">
        <f t="shared" si="172"/>
        <v>101.48601230194029</v>
      </c>
      <c r="H461" s="74">
        <f t="shared" si="173"/>
        <v>24.40614891650218</v>
      </c>
      <c r="I461" s="74">
        <f t="shared" si="179"/>
        <v>32.17574952279962</v>
      </c>
      <c r="J461" s="74">
        <f t="shared" si="183"/>
        <v>24.40614891650218</v>
      </c>
      <c r="K461" s="74">
        <f t="shared" si="180"/>
        <v>36.370545849157565</v>
      </c>
      <c r="L461" s="74">
        <f t="shared" si="174"/>
        <v>1.9493594201031446</v>
      </c>
      <c r="M461" s="74">
        <f t="shared" si="184"/>
        <v>3.4325630767730444</v>
      </c>
      <c r="N461" s="74">
        <f t="shared" si="175"/>
        <v>0.23166750165393885</v>
      </c>
      <c r="O461" s="74">
        <f t="shared" si="176"/>
        <v>57.695793984063094</v>
      </c>
      <c r="P461" s="74">
        <f t="shared" si="177"/>
        <v>0.3198131846938859</v>
      </c>
    </row>
    <row r="462" spans="2:16" ht="13.5">
      <c r="B462" s="74">
        <f t="shared" si="169"/>
        <v>42.65834058793251</v>
      </c>
      <c r="C462" s="70">
        <f t="shared" si="181"/>
        <v>56.161</v>
      </c>
      <c r="D462" s="70">
        <f t="shared" si="182"/>
        <v>79</v>
      </c>
      <c r="E462" s="74">
        <f t="shared" si="170"/>
        <v>0.9801943612125354</v>
      </c>
      <c r="F462" s="74">
        <f t="shared" si="171"/>
        <v>1.3788101090755203</v>
      </c>
      <c r="G462" s="74">
        <f t="shared" si="172"/>
        <v>101.48601230194029</v>
      </c>
      <c r="H462" s="74">
        <f t="shared" si="173"/>
        <v>22.438680258289008</v>
      </c>
      <c r="I462" s="74">
        <f t="shared" si="179"/>
        <v>29.424319295722153</v>
      </c>
      <c r="J462" s="74">
        <f t="shared" si="183"/>
        <v>22.438680258289008</v>
      </c>
      <c r="K462" s="74">
        <f t="shared" si="180"/>
        <v>35.29133085505204</v>
      </c>
      <c r="L462" s="74">
        <f t="shared" si="174"/>
        <v>1.9668127126230877</v>
      </c>
      <c r="M462" s="74">
        <f t="shared" si="184"/>
        <v>3.4570875053272205</v>
      </c>
      <c r="N462" s="74">
        <f t="shared" si="175"/>
        <v>0.17309022039101127</v>
      </c>
      <c r="O462" s="74">
        <f t="shared" si="176"/>
        <v>56.52285555370955</v>
      </c>
      <c r="P462" s="74">
        <f t="shared" si="177"/>
        <v>0.33067346780398144</v>
      </c>
    </row>
    <row r="463" spans="2:16" ht="13.5">
      <c r="B463" s="74">
        <f t="shared" si="169"/>
        <v>42.41183671555274</v>
      </c>
      <c r="C463" s="70">
        <f t="shared" si="181"/>
        <v>56.161</v>
      </c>
      <c r="D463" s="70">
        <f t="shared" si="182"/>
        <v>80</v>
      </c>
      <c r="E463" s="74">
        <f t="shared" si="170"/>
        <v>0.9801943612125354</v>
      </c>
      <c r="F463" s="74">
        <f t="shared" si="171"/>
        <v>1.3962634015954636</v>
      </c>
      <c r="G463" s="74">
        <f t="shared" si="172"/>
        <v>101.48601230194029</v>
      </c>
      <c r="H463" s="74">
        <f t="shared" si="173"/>
        <v>20.442283082501756</v>
      </c>
      <c r="I463" s="74">
        <f t="shared" si="179"/>
        <v>26.691496704743898</v>
      </c>
      <c r="J463" s="74">
        <f t="shared" si="183"/>
        <v>20.442283082501756</v>
      </c>
      <c r="K463" s="74">
        <f t="shared" si="180"/>
        <v>34.21941447956511</v>
      </c>
      <c r="L463" s="74">
        <f t="shared" si="174"/>
        <v>1.9842660051430312</v>
      </c>
      <c r="M463" s="74">
        <f t="shared" si="184"/>
        <v>3.483033492591896</v>
      </c>
      <c r="N463" s="74">
        <f t="shared" si="175"/>
        <v>0.1136516527724497</v>
      </c>
      <c r="O463" s="74">
        <f t="shared" si="176"/>
        <v>55.364720802452915</v>
      </c>
      <c r="P463" s="74">
        <f t="shared" si="177"/>
        <v>0.3429902506105918</v>
      </c>
    </row>
    <row r="464" spans="2:16" ht="13.5">
      <c r="B464" s="74">
        <f t="shared" si="169"/>
        <v>42.136359432756024</v>
      </c>
      <c r="C464" s="70">
        <f t="shared" si="181"/>
        <v>56.161</v>
      </c>
      <c r="D464" s="70">
        <f t="shared" si="182"/>
        <v>81</v>
      </c>
      <c r="E464" s="74">
        <f t="shared" si="170"/>
        <v>0.9801943612125354</v>
      </c>
      <c r="F464" s="74">
        <f t="shared" si="171"/>
        <v>1.413716694115407</v>
      </c>
      <c r="G464" s="74">
        <f t="shared" si="172"/>
        <v>101.48601230194029</v>
      </c>
      <c r="H464" s="74">
        <f t="shared" si="173"/>
        <v>18.415070572518374</v>
      </c>
      <c r="I464" s="74">
        <f t="shared" si="179"/>
        <v>23.97544465412669</v>
      </c>
      <c r="J464" s="74">
        <f t="shared" si="183"/>
        <v>18.415070572518374</v>
      </c>
      <c r="K464" s="74">
        <f t="shared" si="180"/>
        <v>33.15407614426935</v>
      </c>
      <c r="L464" s="74">
        <f t="shared" si="174"/>
        <v>2.0017192976629743</v>
      </c>
      <c r="M464" s="74">
        <f t="shared" si="184"/>
        <v>3.510449285294637</v>
      </c>
      <c r="N464" s="74">
        <f t="shared" si="175"/>
        <v>0.053295622763378</v>
      </c>
      <c r="O464" s="74">
        <f t="shared" si="176"/>
        <v>54.21936357201161</v>
      </c>
      <c r="P464" s="74">
        <f t="shared" si="177"/>
        <v>0.35679562077741495</v>
      </c>
    </row>
    <row r="465" spans="2:16" ht="13.5">
      <c r="B465" s="74">
        <f t="shared" si="169"/>
        <v>43.577624685015785</v>
      </c>
      <c r="C465" s="70">
        <f t="shared" si="181"/>
        <v>56.161</v>
      </c>
      <c r="D465" s="70">
        <f t="shared" si="182"/>
        <v>82</v>
      </c>
      <c r="E465" s="74">
        <f t="shared" si="170"/>
        <v>0.9801943612125354</v>
      </c>
      <c r="F465" s="74">
        <f t="shared" si="171"/>
        <v>1.43116998663535</v>
      </c>
      <c r="G465" s="74">
        <f t="shared" si="172"/>
        <v>101.48601230194029</v>
      </c>
      <c r="H465" s="74">
        <f t="shared" si="173"/>
        <v>21.274368853074545</v>
      </c>
      <c r="I465" s="74">
        <f t="shared" si="179"/>
        <v>21.274368853074545</v>
      </c>
      <c r="J465" s="74">
        <f t="shared" si="183"/>
        <v>16.355059041525283</v>
      </c>
      <c r="K465" s="74">
        <f t="shared" si="180"/>
        <v>32.09461206045451</v>
      </c>
      <c r="L465" s="74">
        <f t="shared" si="174"/>
        <v>2.0191725901829174</v>
      </c>
      <c r="M465" s="74">
        <f t="shared" si="184"/>
        <v>3.539386779747792</v>
      </c>
      <c r="N465" s="74">
        <f t="shared" si="175"/>
        <v>-0.008036929779261789</v>
      </c>
      <c r="O465" s="74">
        <f t="shared" si="176"/>
        <v>55.30079949488149</v>
      </c>
      <c r="P465" s="74">
        <f t="shared" si="177"/>
        <v>0.28510613123608497</v>
      </c>
    </row>
    <row r="466" spans="2:16" ht="13.5">
      <c r="B466" s="74">
        <f t="shared" si="169"/>
        <v>43.047251638586694</v>
      </c>
      <c r="C466" s="70">
        <f t="shared" si="181"/>
        <v>56.161</v>
      </c>
      <c r="D466" s="70">
        <f t="shared" si="182"/>
        <v>83</v>
      </c>
      <c r="E466" s="74">
        <f t="shared" si="170"/>
        <v>0.9801943612125354</v>
      </c>
      <c r="F466" s="74">
        <f t="shared" si="171"/>
        <v>1.4486232791552935</v>
      </c>
      <c r="G466" s="74">
        <f t="shared" si="172"/>
        <v>101.48601230194029</v>
      </c>
      <c r="H466" s="74">
        <f t="shared" si="173"/>
        <v>18.586512906677186</v>
      </c>
      <c r="I466" s="74">
        <f t="shared" si="179"/>
        <v>18.586512906677186</v>
      </c>
      <c r="J466" s="74">
        <f t="shared" si="183"/>
        <v>14.26015943222883</v>
      </c>
      <c r="K466" s="74">
        <f t="shared" si="180"/>
        <v>31.040333303609955</v>
      </c>
      <c r="L466" s="74">
        <f t="shared" si="174"/>
        <v>2.036625882702861</v>
      </c>
      <c r="M466" s="74">
        <f t="shared" si="184"/>
        <v>3.569901782381449</v>
      </c>
      <c r="N466" s="74">
        <f t="shared" si="175"/>
        <v>-0.0704082021850964</v>
      </c>
      <c r="O466" s="74">
        <f t="shared" si="176"/>
        <v>53.900998762298414</v>
      </c>
      <c r="P466" s="74">
        <f t="shared" si="177"/>
        <v>0.3113204158527599</v>
      </c>
    </row>
    <row r="467" spans="2:16" ht="13.5">
      <c r="B467" s="74">
        <f t="shared" si="169"/>
        <v>42.49930851106402</v>
      </c>
      <c r="C467" s="70">
        <f t="shared" si="181"/>
        <v>56.161</v>
      </c>
      <c r="D467" s="70">
        <f t="shared" si="182"/>
        <v>84</v>
      </c>
      <c r="E467" s="74">
        <f t="shared" si="170"/>
        <v>0.9801943612125354</v>
      </c>
      <c r="F467" s="74">
        <f t="shared" si="171"/>
        <v>1.4660765716752369</v>
      </c>
      <c r="G467" s="74">
        <f t="shared" si="172"/>
        <v>101.48601230194029</v>
      </c>
      <c r="H467" s="74">
        <f t="shared" si="173"/>
        <v>15.910153613341771</v>
      </c>
      <c r="I467" s="74">
        <f t="shared" si="179"/>
        <v>15.910153613341771</v>
      </c>
      <c r="J467" s="74">
        <f t="shared" si="183"/>
        <v>12.128168042573405</v>
      </c>
      <c r="K467" s="74">
        <f t="shared" si="180"/>
        <v>29.990563968899536</v>
      </c>
      <c r="L467" s="74">
        <f t="shared" si="174"/>
        <v>2.0540791752228045</v>
      </c>
      <c r="M467" s="74">
        <f t="shared" si="184"/>
        <v>3.602054296824678</v>
      </c>
      <c r="N467" s="74">
        <f t="shared" si="175"/>
        <v>-0.1338838050927462</v>
      </c>
      <c r="O467" s="74">
        <f t="shared" si="176"/>
        <v>52.5320343164105</v>
      </c>
      <c r="P467" s="74">
        <f t="shared" si="177"/>
        <v>0.3386154857651715</v>
      </c>
    </row>
    <row r="468" spans="2:16" ht="13.5">
      <c r="B468" s="74">
        <f t="shared" si="169"/>
        <v>41.93375523389342</v>
      </c>
      <c r="C468" s="70">
        <f t="shared" si="181"/>
        <v>56.161</v>
      </c>
      <c r="D468" s="70">
        <f>D437</f>
        <v>85</v>
      </c>
      <c r="E468" s="74">
        <f t="shared" si="170"/>
        <v>0.9801943612125354</v>
      </c>
      <c r="F468" s="74">
        <f t="shared" si="171"/>
        <v>1.4835298641951802</v>
      </c>
      <c r="G468" s="74">
        <f t="shared" si="172"/>
        <v>101.48601230194029</v>
      </c>
      <c r="H468" s="74">
        <f t="shared" si="173"/>
        <v>13.24359644123674</v>
      </c>
      <c r="I468" s="74">
        <f t="shared" si="179"/>
        <v>13.24359644123674</v>
      </c>
      <c r="J468" s="74">
        <f t="shared" si="183"/>
        <v>9.956756386451493</v>
      </c>
      <c r="K468" s="74">
        <f t="shared" si="180"/>
        <v>28.944639396851734</v>
      </c>
      <c r="L468" s="74">
        <f t="shared" si="174"/>
        <v>2.0715324677427476</v>
      </c>
      <c r="M468" s="74">
        <f t="shared" si="184"/>
        <v>3.6359088404790922</v>
      </c>
      <c r="N468" s="74">
        <f t="shared" si="175"/>
        <v>-0.1985330643260647</v>
      </c>
      <c r="O468" s="74">
        <f t="shared" si="176"/>
        <v>51.1916628008798</v>
      </c>
      <c r="P468" s="74">
        <f t="shared" si="177"/>
        <v>0.3669737161282842</v>
      </c>
    </row>
    <row r="469" spans="2:16" ht="13.5">
      <c r="B469" s="74">
        <f t="shared" si="169"/>
        <v>41.35050460687896</v>
      </c>
      <c r="C469" s="70">
        <f t="shared" si="181"/>
        <v>56.161</v>
      </c>
      <c r="D469" s="70">
        <f t="shared" si="182"/>
        <v>86</v>
      </c>
      <c r="E469" s="74">
        <f t="shared" si="170"/>
        <v>0.9801943612125354</v>
      </c>
      <c r="F469" s="74">
        <f t="shared" si="171"/>
        <v>1.5009831567151233</v>
      </c>
      <c r="G469" s="74">
        <f t="shared" si="172"/>
        <v>101.48601230194029</v>
      </c>
      <c r="H469" s="74">
        <f t="shared" si="173"/>
        <v>10.585171157948913</v>
      </c>
      <c r="I469" s="74">
        <f t="shared" si="179"/>
        <v>10.585171157948913</v>
      </c>
      <c r="J469" s="74">
        <f t="shared" si="183"/>
        <v>7.743460086500027</v>
      </c>
      <c r="K469" s="74">
        <f t="shared" si="180"/>
        <v>27.90190445914594</v>
      </c>
      <c r="L469" s="74">
        <f t="shared" si="174"/>
        <v>2.0889857602626907</v>
      </c>
      <c r="M469" s="74">
        <f t="shared" si="184"/>
        <v>3.6715347939252476</v>
      </c>
      <c r="N469" s="74">
        <f t="shared" si="175"/>
        <v>-0.26442935158799213</v>
      </c>
      <c r="O469" s="74">
        <f t="shared" si="176"/>
        <v>49.877720836510825</v>
      </c>
      <c r="P469" s="74">
        <f t="shared" si="177"/>
        <v>0.39637096349269024</v>
      </c>
    </row>
    <row r="470" spans="2:16" ht="13.5">
      <c r="B470" s="74">
        <f>O470*SIN(F470-F$4)</f>
        <v>40.74942308673464</v>
      </c>
      <c r="C470" s="70">
        <f t="shared" si="181"/>
        <v>56.161</v>
      </c>
      <c r="D470" s="70">
        <f t="shared" si="182"/>
        <v>87</v>
      </c>
      <c r="E470" s="74">
        <f t="shared" si="170"/>
        <v>0.9801943612125354</v>
      </c>
      <c r="F470" s="74">
        <f t="shared" si="171"/>
        <v>1.5184364492350666</v>
      </c>
      <c r="G470" s="74">
        <f t="shared" si="172"/>
        <v>101.48601230194029</v>
      </c>
      <c r="H470" s="74">
        <f t="shared" si="173"/>
        <v>7.933227588970383</v>
      </c>
      <c r="I470" s="74">
        <f t="shared" si="179"/>
        <v>7.933227588970383</v>
      </c>
      <c r="J470" s="74">
        <f t="shared" si="183"/>
        <v>5.4856666823648865</v>
      </c>
      <c r="K470" s="74">
        <f t="shared" si="180"/>
        <v>26.861711894930572</v>
      </c>
      <c r="L470" s="74">
        <f t="shared" si="174"/>
        <v>2.106439052782634</v>
      </c>
      <c r="M470" s="74">
        <f t="shared" si="184"/>
        <v>3.7090067869585464</v>
      </c>
      <c r="N470" s="74">
        <f t="shared" si="175"/>
        <v>-0.3316504474440855</v>
      </c>
      <c r="O470" s="74">
        <f t="shared" si="176"/>
        <v>48.58811629286409</v>
      </c>
      <c r="P470" s="74">
        <f t="shared" si="177"/>
        <v>0.4267757916822458</v>
      </c>
    </row>
    <row r="471" spans="2:16" ht="13.5">
      <c r="B471" s="74">
        <f aca="true" t="shared" si="185" ref="B471:B534">O471*SIN(F471-F$4)</f>
        <v>40.13033131211769</v>
      </c>
      <c r="C471" s="70">
        <f t="shared" si="181"/>
        <v>56.161</v>
      </c>
      <c r="D471" s="70">
        <f t="shared" si="182"/>
        <v>88</v>
      </c>
      <c r="E471" s="74">
        <f t="shared" si="170"/>
        <v>0.9801943612125354</v>
      </c>
      <c r="F471" s="74">
        <f t="shared" si="171"/>
        <v>1.53588974175501</v>
      </c>
      <c r="G471" s="74">
        <f t="shared" si="172"/>
        <v>101.48601230194029</v>
      </c>
      <c r="H471" s="74">
        <f t="shared" si="173"/>
        <v>5.286131481813329</v>
      </c>
      <c r="I471" s="74">
        <f t="shared" si="179"/>
        <v>5.286131481813329</v>
      </c>
      <c r="J471" s="74">
        <f t="shared" si="183"/>
        <v>3.180602221976846</v>
      </c>
      <c r="K471" s="74">
        <f t="shared" si="180"/>
        <v>25.823420688572526</v>
      </c>
      <c r="L471" s="74">
        <f t="shared" si="174"/>
        <v>2.1238923453025773</v>
      </c>
      <c r="M471" s="74">
        <f t="shared" si="184"/>
        <v>3.7484051255774977</v>
      </c>
      <c r="N471" s="74">
        <f t="shared" si="175"/>
        <v>-0.4002789405393484</v>
      </c>
      <c r="O471" s="74">
        <f t="shared" si="176"/>
        <v>47.32082000301488</v>
      </c>
      <c r="P471" s="74">
        <f t="shared" si="177"/>
        <v>0.45814879446063844</v>
      </c>
    </row>
    <row r="472" spans="2:16" ht="13.5">
      <c r="B472" s="74">
        <f t="shared" si="185"/>
        <v>39.49300437420536</v>
      </c>
      <c r="C472" s="70">
        <f t="shared" si="181"/>
        <v>56.161</v>
      </c>
      <c r="D472" s="70">
        <f>D441</f>
        <v>89</v>
      </c>
      <c r="E472" s="74">
        <f t="shared" si="170"/>
        <v>0.9801943612125354</v>
      </c>
      <c r="F472" s="74">
        <f t="shared" si="171"/>
        <v>1.5533430342749535</v>
      </c>
      <c r="G472" s="74">
        <f t="shared" si="172"/>
        <v>101.48601230194029</v>
      </c>
      <c r="H472" s="74">
        <f t="shared" si="173"/>
        <v>2.642260453508916</v>
      </c>
      <c r="I472" s="74">
        <f t="shared" si="179"/>
        <v>2.642260453508916</v>
      </c>
      <c r="J472" s="74">
        <f t="shared" si="183"/>
        <v>0.8253164850416557</v>
      </c>
      <c r="K472" s="74">
        <f t="shared" si="180"/>
        <v>24.78639448011291</v>
      </c>
      <c r="L472" s="74">
        <f t="shared" si="174"/>
        <v>2.141345637822521</v>
      </c>
      <c r="M472" s="74">
        <f t="shared" si="184"/>
        <v>3.7898162648555984</v>
      </c>
      <c r="N472" s="74">
        <f t="shared" si="175"/>
        <v>-0.47040266753803595</v>
      </c>
      <c r="O472" s="74">
        <f t="shared" si="176"/>
        <v>46.073857859319105</v>
      </c>
      <c r="P472" s="74">
        <f t="shared" si="177"/>
        <v>0.4904420539913997</v>
      </c>
    </row>
    <row r="473" spans="2:16" ht="13.5">
      <c r="B473" s="74">
        <f t="shared" si="185"/>
        <v>38.83717183941432</v>
      </c>
      <c r="C473" s="70">
        <f t="shared" si="181"/>
        <v>56.161</v>
      </c>
      <c r="D473" s="70">
        <f t="shared" si="182"/>
        <v>90</v>
      </c>
      <c r="E473" s="74">
        <f t="shared" si="170"/>
        <v>0.9801943612125354</v>
      </c>
      <c r="F473" s="74">
        <f t="shared" si="171"/>
        <v>1.5707963267948966</v>
      </c>
      <c r="G473" s="74">
        <f t="shared" si="172"/>
        <v>101.48601230194029</v>
      </c>
      <c r="H473" s="74">
        <f t="shared" si="173"/>
        <v>9.272842368089618E-15</v>
      </c>
      <c r="I473" s="74">
        <f t="shared" si="179"/>
        <v>9.272842368089618E-15</v>
      </c>
      <c r="J473" s="74">
        <f t="shared" si="183"/>
        <v>-1.5833333333333073</v>
      </c>
      <c r="K473" s="74">
        <f t="shared" si="180"/>
        <v>23.750000000000007</v>
      </c>
      <c r="L473" s="74">
        <f t="shared" si="174"/>
        <v>2.158798930342464</v>
      </c>
      <c r="M473" s="74">
        <f t="shared" si="184"/>
        <v>3.8333333333333317</v>
      </c>
      <c r="N473" s="74">
        <f t="shared" si="175"/>
        <v>-0.5421151989096857</v>
      </c>
      <c r="O473" s="74">
        <f t="shared" si="176"/>
        <v>44.84530323209922</v>
      </c>
      <c r="P473" s="74">
        <f t="shared" si="177"/>
        <v>0.5235987755982986</v>
      </c>
    </row>
    <row r="474" spans="2:16" ht="13.5">
      <c r="B474" s="74">
        <f t="shared" si="185"/>
        <v>41.922991985930466</v>
      </c>
      <c r="C474" s="70">
        <f>C473+J407</f>
        <v>57.121</v>
      </c>
      <c r="D474" s="70">
        <f>D443</f>
        <v>60</v>
      </c>
      <c r="E474" s="74">
        <f t="shared" si="170"/>
        <v>0.996949522031681</v>
      </c>
      <c r="F474" s="74">
        <f t="shared" si="171"/>
        <v>1.0471975511965976</v>
      </c>
      <c r="G474" s="74">
        <f t="shared" si="172"/>
        <v>97.85019600591959</v>
      </c>
      <c r="H474" s="74">
        <f t="shared" si="173"/>
        <v>56.61327536344993</v>
      </c>
      <c r="I474" s="74">
        <f t="shared" si="179"/>
        <v>87.39639699857963</v>
      </c>
      <c r="J474" s="74">
        <f t="shared" si="183"/>
        <v>56.61327536344993</v>
      </c>
      <c r="K474" s="74">
        <f t="shared" si="180"/>
        <v>58.03017223313404</v>
      </c>
      <c r="L474" s="74">
        <f t="shared" si="174"/>
        <v>1.6352001547441652</v>
      </c>
      <c r="M474" s="74">
        <f t="shared" si="184"/>
        <v>3.196152422706631</v>
      </c>
      <c r="N474" s="74">
        <f t="shared" si="175"/>
        <v>1.1905676074715958</v>
      </c>
      <c r="O474" s="74">
        <f t="shared" si="176"/>
        <v>83.84598397186095</v>
      </c>
      <c r="P474" s="74">
        <f t="shared" si="177"/>
        <v>0.36457900494743345</v>
      </c>
    </row>
    <row r="475" spans="2:16" ht="13.5">
      <c r="B475" s="74">
        <f t="shared" si="185"/>
        <v>42.23966858251524</v>
      </c>
      <c r="C475" s="70">
        <f>C474</f>
        <v>57.121</v>
      </c>
      <c r="D475" s="70">
        <f aca="true" t="shared" si="186" ref="D475:D538">D444</f>
        <v>61</v>
      </c>
      <c r="E475" s="74">
        <f t="shared" si="170"/>
        <v>0.996949522031681</v>
      </c>
      <c r="F475" s="74">
        <f t="shared" si="171"/>
        <v>1.064650843716541</v>
      </c>
      <c r="G475" s="74">
        <f t="shared" si="172"/>
        <v>97.85019600591959</v>
      </c>
      <c r="H475" s="74">
        <f t="shared" si="173"/>
        <v>54.91741842603781</v>
      </c>
      <c r="I475" s="74">
        <f t="shared" si="179"/>
        <v>83.90853266366291</v>
      </c>
      <c r="J475" s="74">
        <f t="shared" si="183"/>
        <v>54.91741842603781</v>
      </c>
      <c r="K475" s="74">
        <f t="shared" si="180"/>
        <v>56.662099930008154</v>
      </c>
      <c r="L475" s="74">
        <f t="shared" si="174"/>
        <v>1.6526534472641083</v>
      </c>
      <c r="M475" s="74">
        <f t="shared" si="184"/>
        <v>3.200241894286732</v>
      </c>
      <c r="N475" s="74">
        <f t="shared" si="175"/>
        <v>1.1400769994561701</v>
      </c>
      <c r="O475" s="74">
        <f t="shared" si="176"/>
        <v>82.01271059405063</v>
      </c>
      <c r="P475" s="74">
        <f t="shared" si="177"/>
        <v>0.3492166358187735</v>
      </c>
    </row>
    <row r="476" spans="2:16" ht="13.5">
      <c r="B476" s="74">
        <f t="shared" si="185"/>
        <v>42.52122379212829</v>
      </c>
      <c r="C476" s="70">
        <f aca="true" t="shared" si="187" ref="C476:C504">C475</f>
        <v>57.121</v>
      </c>
      <c r="D476" s="70">
        <f t="shared" si="186"/>
        <v>62</v>
      </c>
      <c r="E476" s="74">
        <f t="shared" si="170"/>
        <v>0.996949522031681</v>
      </c>
      <c r="F476" s="74">
        <f t="shared" si="171"/>
        <v>1.0821041362364843</v>
      </c>
      <c r="G476" s="74">
        <f t="shared" si="172"/>
        <v>97.85019600591959</v>
      </c>
      <c r="H476" s="74">
        <f t="shared" si="173"/>
        <v>53.21669751699319</v>
      </c>
      <c r="I476" s="74">
        <f t="shared" si="179"/>
        <v>80.48751521775635</v>
      </c>
      <c r="J476" s="74">
        <f t="shared" si="183"/>
        <v>53.21669751699319</v>
      </c>
      <c r="K476" s="74">
        <f t="shared" si="180"/>
        <v>55.3202475049003</v>
      </c>
      <c r="L476" s="74">
        <f t="shared" si="174"/>
        <v>1.6701067397840519</v>
      </c>
      <c r="M476" s="74">
        <f>J$18/SIN(L476)*SIN(J$19)</f>
        <v>3.205319466443784</v>
      </c>
      <c r="N476" s="74">
        <f t="shared" si="175"/>
        <v>1.0894415768165406</v>
      </c>
      <c r="O476" s="74">
        <f t="shared" si="176"/>
        <v>80.24094737083517</v>
      </c>
      <c r="P476" s="74">
        <f t="shared" si="177"/>
        <v>0.3356071023937228</v>
      </c>
    </row>
    <row r="477" spans="2:16" ht="13.5">
      <c r="B477" s="74">
        <f t="shared" si="185"/>
        <v>42.768797031560325</v>
      </c>
      <c r="C477" s="70">
        <f t="shared" si="187"/>
        <v>57.121</v>
      </c>
      <c r="D477" s="70">
        <f t="shared" si="186"/>
        <v>63</v>
      </c>
      <c r="E477" s="74">
        <f aca="true" t="shared" si="188" ref="E477:E540">C477*PI()/180</f>
        <v>0.996949522031681</v>
      </c>
      <c r="F477" s="74">
        <f aca="true" t="shared" si="189" ref="F477:F540">D477*PI()/180</f>
        <v>1.0995574287564276</v>
      </c>
      <c r="G477" s="74">
        <f aca="true" t="shared" si="190" ref="G477:G540">(0.5*$D$3*$D$9+$D$5)*$D$9/TAN(E477)</f>
        <v>97.85019600591959</v>
      </c>
      <c r="H477" s="74">
        <f aca="true" t="shared" si="191" ref="H477:H540">IF(D477&gt;$F$17,I477,IF(D477&lt;$F$16,K477,J477))</f>
        <v>51.51005054407396</v>
      </c>
      <c r="I477" s="74">
        <f t="shared" si="179"/>
        <v>77.12941491721917</v>
      </c>
      <c r="J477" s="74">
        <f t="shared" si="183"/>
        <v>51.51005054407396</v>
      </c>
      <c r="K477" s="74">
        <f t="shared" si="180"/>
        <v>54.00307356373172</v>
      </c>
      <c r="L477" s="74">
        <f aca="true" t="shared" si="192" ref="L477:L540">F477+D$14</f>
        <v>1.687560032303995</v>
      </c>
      <c r="M477" s="74">
        <f>J$18/SIN(L477)*SIN(J$19)</f>
        <v>3.2113929525108333</v>
      </c>
      <c r="N477" s="74">
        <f aca="true" t="shared" si="193" ref="N477:N540">M477*SIN(D$17-F477)</f>
        <v>1.0386297179684278</v>
      </c>
      <c r="O477" s="74">
        <f aca="true" t="shared" si="194" ref="O477:O540">SIN(E477-F$4)/SIN(E477+F477-2*F$4)*(G477+H477)</f>
        <v>78.52686693743921</v>
      </c>
      <c r="P477" s="74">
        <f aca="true" t="shared" si="195" ref="P477:P540">ATAN((O477*COS(F477-F$4)-H477)/(O477*SIN(F477-F$4)))</f>
        <v>0.3236822652730813</v>
      </c>
    </row>
    <row r="478" spans="2:16" ht="13.5">
      <c r="B478" s="74">
        <f t="shared" si="185"/>
        <v>42.98340551616886</v>
      </c>
      <c r="C478" s="70">
        <f t="shared" si="187"/>
        <v>57.121</v>
      </c>
      <c r="D478" s="70">
        <f t="shared" si="186"/>
        <v>64</v>
      </c>
      <c r="E478" s="74">
        <f t="shared" si="188"/>
        <v>0.996949522031681</v>
      </c>
      <c r="F478" s="74">
        <f t="shared" si="189"/>
        <v>1.117010721276371</v>
      </c>
      <c r="G478" s="74">
        <f t="shared" si="190"/>
        <v>97.85019600591959</v>
      </c>
      <c r="H478" s="74">
        <f t="shared" si="191"/>
        <v>49.7964007486329</v>
      </c>
      <c r="I478" s="74">
        <f t="shared" si="179"/>
        <v>73.83052059415728</v>
      </c>
      <c r="J478" s="74">
        <f aca="true" t="shared" si="196" ref="J478:J487">0.5*$J$18*N478*$D$3+$G$18</f>
        <v>49.7964007486329</v>
      </c>
      <c r="K478" s="74">
        <f t="shared" si="180"/>
        <v>52.70912244609802</v>
      </c>
      <c r="L478" s="74">
        <f t="shared" si="192"/>
        <v>1.7050133248239385</v>
      </c>
      <c r="M478" s="74">
        <f aca="true" t="shared" si="197" ref="M478:M487">J$18/SIN(L478)*SIN(J$19)</f>
        <v>3.21847173736185</v>
      </c>
      <c r="N478" s="74">
        <f t="shared" si="193"/>
        <v>0.9876093646658881</v>
      </c>
      <c r="O478" s="74">
        <f t="shared" si="194"/>
        <v>76.8668651718994</v>
      </c>
      <c r="P478" s="74">
        <f t="shared" si="195"/>
        <v>0.3133797015457918</v>
      </c>
    </row>
    <row r="479" spans="2:16" ht="13.5">
      <c r="B479" s="74">
        <f t="shared" si="185"/>
        <v>43.16595178365577</v>
      </c>
      <c r="C479" s="70">
        <f t="shared" si="187"/>
        <v>57.121</v>
      </c>
      <c r="D479" s="70">
        <f t="shared" si="186"/>
        <v>65</v>
      </c>
      <c r="E479" s="74">
        <f t="shared" si="188"/>
        <v>0.996949522031681</v>
      </c>
      <c r="F479" s="74">
        <f t="shared" si="189"/>
        <v>1.1344640137963142</v>
      </c>
      <c r="G479" s="74">
        <f t="shared" si="190"/>
        <v>97.85019600591959</v>
      </c>
      <c r="H479" s="74">
        <f t="shared" si="191"/>
        <v>48.07465394252364</v>
      </c>
      <c r="I479" s="74">
        <f t="shared" si="179"/>
        <v>70.58732175321292</v>
      </c>
      <c r="J479" s="74">
        <f t="shared" si="196"/>
        <v>48.07465394252364</v>
      </c>
      <c r="K479" s="74">
        <f t="shared" si="180"/>
        <v>51.43701720295304</v>
      </c>
      <c r="L479" s="74">
        <f t="shared" si="192"/>
        <v>1.7224666173438816</v>
      </c>
      <c r="M479" s="74">
        <f t="shared" si="197"/>
        <v>3.2265668130425462</v>
      </c>
      <c r="N479" s="74">
        <f t="shared" si="193"/>
        <v>0.9363479397359457</v>
      </c>
      <c r="O479" s="74">
        <f t="shared" si="194"/>
        <v>75.25754031714946</v>
      </c>
      <c r="P479" s="74">
        <f t="shared" si="195"/>
        <v>0.30464311696731766</v>
      </c>
    </row>
    <row r="480" spans="2:16" ht="13.5">
      <c r="B480" s="74">
        <f t="shared" si="185"/>
        <v>43.317230279043706</v>
      </c>
      <c r="C480" s="70">
        <f t="shared" si="187"/>
        <v>57.121</v>
      </c>
      <c r="D480" s="70">
        <f t="shared" si="186"/>
        <v>66</v>
      </c>
      <c r="E480" s="74">
        <f t="shared" si="188"/>
        <v>0.996949522031681</v>
      </c>
      <c r="F480" s="74">
        <f t="shared" si="189"/>
        <v>1.1519173063162575</v>
      </c>
      <c r="G480" s="74">
        <f t="shared" si="190"/>
        <v>97.85019600591959</v>
      </c>
      <c r="H480" s="74">
        <f t="shared" si="191"/>
        <v>46.34369565210348</v>
      </c>
      <c r="I480" s="74">
        <f t="shared" si="179"/>
        <v>67.39649223857965</v>
      </c>
      <c r="J480" s="74">
        <f t="shared" si="196"/>
        <v>46.34369565210348</v>
      </c>
      <c r="K480" s="74">
        <f t="shared" si="180"/>
        <v>50.18545319019432</v>
      </c>
      <c r="L480" s="74">
        <f t="shared" si="192"/>
        <v>1.7399199098638252</v>
      </c>
      <c r="M480" s="74">
        <f t="shared" si="197"/>
        <v>3.235690820800044</v>
      </c>
      <c r="N480" s="74">
        <f t="shared" si="193"/>
        <v>0.8848122620472225</v>
      </c>
      <c r="O480" s="74">
        <f t="shared" si="194"/>
        <v>73.69567390487997</v>
      </c>
      <c r="P480" s="74">
        <f t="shared" si="195"/>
        <v>0.29742258534819405</v>
      </c>
    </row>
    <row r="481" spans="2:16" ht="13.5">
      <c r="B481" s="74">
        <f t="shared" si="185"/>
        <v>43.437933086476505</v>
      </c>
      <c r="C481" s="70">
        <f t="shared" si="187"/>
        <v>57.121</v>
      </c>
      <c r="D481" s="70">
        <f t="shared" si="186"/>
        <v>67</v>
      </c>
      <c r="E481" s="74">
        <f t="shared" si="188"/>
        <v>0.996949522031681</v>
      </c>
      <c r="F481" s="74">
        <f t="shared" si="189"/>
        <v>1.1693705988362006</v>
      </c>
      <c r="G481" s="74">
        <f t="shared" si="190"/>
        <v>97.85019600591959</v>
      </c>
      <c r="H481" s="74">
        <f t="shared" si="191"/>
        <v>44.602388153158174</v>
      </c>
      <c r="I481" s="74">
        <f t="shared" si="179"/>
        <v>64.25487530372895</v>
      </c>
      <c r="J481" s="74">
        <f t="shared" si="196"/>
        <v>44.602388153158174</v>
      </c>
      <c r="K481" s="74">
        <f t="shared" si="180"/>
        <v>48.95319221244529</v>
      </c>
      <c r="L481" s="74">
        <f t="shared" si="192"/>
        <v>1.7573732023837683</v>
      </c>
      <c r="M481" s="74">
        <f t="shared" si="197"/>
        <v>3.2458580998131934</v>
      </c>
      <c r="N481" s="74">
        <f t="shared" si="193"/>
        <v>0.8329684582310031</v>
      </c>
      <c r="O481" s="74">
        <f t="shared" si="194"/>
        <v>72.17821326388182</v>
      </c>
      <c r="P481" s="74">
        <f t="shared" si="195"/>
        <v>0.29167466118885155</v>
      </c>
    </row>
    <row r="482" spans="2:16" ht="13.5">
      <c r="B482" s="74">
        <f t="shared" si="185"/>
        <v>43.5286548809702</v>
      </c>
      <c r="C482" s="70">
        <f t="shared" si="187"/>
        <v>57.121</v>
      </c>
      <c r="D482" s="70">
        <f t="shared" si="186"/>
        <v>68</v>
      </c>
      <c r="E482" s="74">
        <f t="shared" si="188"/>
        <v>0.996949522031681</v>
      </c>
      <c r="F482" s="74">
        <f t="shared" si="189"/>
        <v>1.1868238913561442</v>
      </c>
      <c r="G482" s="74">
        <f t="shared" si="190"/>
        <v>97.85019600591959</v>
      </c>
      <c r="H482" s="74">
        <f t="shared" si="191"/>
        <v>42.84956737955771</v>
      </c>
      <c r="I482" s="74">
        <f t="shared" si="179"/>
        <v>61.15946993579685</v>
      </c>
      <c r="J482" s="74">
        <f t="shared" si="196"/>
        <v>42.84956737955771</v>
      </c>
      <c r="K482" s="74">
        <f t="shared" si="180"/>
        <v>47.739057158962424</v>
      </c>
      <c r="L482" s="74">
        <f t="shared" si="192"/>
        <v>1.7748264949037118</v>
      </c>
      <c r="M482" s="74">
        <f t="shared" si="197"/>
        <v>3.2570847429771757</v>
      </c>
      <c r="N482" s="74">
        <f t="shared" si="193"/>
        <v>0.7807818706428962</v>
      </c>
      <c r="O482" s="74">
        <f t="shared" si="194"/>
        <v>70.70225542039222</v>
      </c>
      <c r="P482" s="74">
        <f t="shared" si="195"/>
        <v>0.2873624018489376</v>
      </c>
    </row>
    <row r="483" spans="2:16" ht="13.5">
      <c r="B483" s="74">
        <f t="shared" si="185"/>
        <v>43.589897162237435</v>
      </c>
      <c r="C483" s="70">
        <f t="shared" si="187"/>
        <v>57.121</v>
      </c>
      <c r="D483" s="70">
        <f t="shared" si="186"/>
        <v>69</v>
      </c>
      <c r="E483" s="74">
        <f t="shared" si="188"/>
        <v>0.996949522031681</v>
      </c>
      <c r="F483" s="74">
        <f t="shared" si="189"/>
        <v>1.2042771838760873</v>
      </c>
      <c r="G483" s="74">
        <f t="shared" si="190"/>
        <v>97.85019600591959</v>
      </c>
      <c r="H483" s="74">
        <f t="shared" si="191"/>
        <v>41.08403968726031</v>
      </c>
      <c r="I483" s="74">
        <f t="shared" si="179"/>
        <v>58.107418303486085</v>
      </c>
      <c r="J483" s="74">
        <f t="shared" si="196"/>
        <v>41.08403968726031</v>
      </c>
      <c r="K483" s="74">
        <f t="shared" si="180"/>
        <v>46.54192708022782</v>
      </c>
      <c r="L483" s="74">
        <f t="shared" si="192"/>
        <v>1.792279787423655</v>
      </c>
      <c r="M483" s="74">
        <f t="shared" si="197"/>
        <v>3.2693886601519666</v>
      </c>
      <c r="N483" s="74">
        <f t="shared" si="193"/>
        <v>0.7282169610177962</v>
      </c>
      <c r="O483" s="74">
        <f t="shared" si="194"/>
        <v>69.26503221915377</v>
      </c>
      <c r="P483" s="74">
        <f t="shared" si="195"/>
        <v>0.2844553271444036</v>
      </c>
    </row>
    <row r="484" spans="2:16" ht="13.5">
      <c r="B484" s="74">
        <f t="shared" si="185"/>
        <v>43.62207182294389</v>
      </c>
      <c r="C484" s="70">
        <f t="shared" si="187"/>
        <v>57.121</v>
      </c>
      <c r="D484" s="70">
        <f t="shared" si="186"/>
        <v>70</v>
      </c>
      <c r="E484" s="74">
        <f t="shared" si="188"/>
        <v>0.996949522031681</v>
      </c>
      <c r="F484" s="74">
        <f t="shared" si="189"/>
        <v>1.2217304763960306</v>
      </c>
      <c r="G484" s="74">
        <f t="shared" si="190"/>
        <v>97.85019600591959</v>
      </c>
      <c r="H484" s="74">
        <f t="shared" si="191"/>
        <v>39.30457845389725</v>
      </c>
      <c r="I484" s="74">
        <f t="shared" si="179"/>
        <v>55.09599421204639</v>
      </c>
      <c r="J484" s="74">
        <f t="shared" si="196"/>
        <v>39.30457845389725</v>
      </c>
      <c r="K484" s="74">
        <f t="shared" si="180"/>
        <v>45.360732659555765</v>
      </c>
      <c r="L484" s="74">
        <f t="shared" si="192"/>
        <v>1.809733079943598</v>
      </c>
      <c r="M484" s="74">
        <f t="shared" si="197"/>
        <v>3.2827896493451227</v>
      </c>
      <c r="N484" s="74">
        <f t="shared" si="193"/>
        <v>0.6752372092296027</v>
      </c>
      <c r="O484" s="74">
        <f t="shared" si="194"/>
        <v>67.86389651197004</v>
      </c>
      <c r="P484" s="74">
        <f t="shared" si="195"/>
        <v>0.2829293371631261</v>
      </c>
    </row>
    <row r="485" spans="2:16" ht="13.5">
      <c r="B485" s="74">
        <f t="shared" si="185"/>
        <v>43.625504095017476</v>
      </c>
      <c r="C485" s="70">
        <f t="shared" si="187"/>
        <v>57.121</v>
      </c>
      <c r="D485" s="70">
        <f t="shared" si="186"/>
        <v>71</v>
      </c>
      <c r="E485" s="74">
        <f t="shared" si="188"/>
        <v>0.996949522031681</v>
      </c>
      <c r="F485" s="74">
        <f t="shared" si="189"/>
        <v>1.239183768915974</v>
      </c>
      <c r="G485" s="74">
        <f t="shared" si="190"/>
        <v>97.85019600591959</v>
      </c>
      <c r="H485" s="74">
        <f t="shared" si="191"/>
        <v>37.50992049257642</v>
      </c>
      <c r="I485" s="74">
        <f t="shared" si="179"/>
        <v>52.12259246172309</v>
      </c>
      <c r="J485" s="74">
        <f t="shared" si="196"/>
        <v>37.50992049257642</v>
      </c>
      <c r="K485" s="74">
        <f t="shared" si="180"/>
        <v>44.19445203907388</v>
      </c>
      <c r="L485" s="74">
        <f t="shared" si="192"/>
        <v>1.8271863724635415</v>
      </c>
      <c r="M485" s="74">
        <f t="shared" si="197"/>
        <v>3.297309476365921</v>
      </c>
      <c r="N485" s="74">
        <f t="shared" si="193"/>
        <v>0.6218050065196917</v>
      </c>
      <c r="O485" s="74">
        <f t="shared" si="194"/>
        <v>66.49630927592753</v>
      </c>
      <c r="P485" s="74">
        <f t="shared" si="195"/>
        <v>0.28276660312681867</v>
      </c>
    </row>
    <row r="486" spans="2:16" ht="13.5">
      <c r="B486" s="74">
        <f t="shared" si="185"/>
        <v>43.60043490973443</v>
      </c>
      <c r="C486" s="70">
        <f t="shared" si="187"/>
        <v>57.121</v>
      </c>
      <c r="D486" s="70">
        <f t="shared" si="186"/>
        <v>72</v>
      </c>
      <c r="E486" s="74">
        <f t="shared" si="188"/>
        <v>0.996949522031681</v>
      </c>
      <c r="F486" s="74">
        <f t="shared" si="189"/>
        <v>1.2566370614359172</v>
      </c>
      <c r="G486" s="74">
        <f t="shared" si="190"/>
        <v>97.85019600591959</v>
      </c>
      <c r="H486" s="74">
        <f t="shared" si="191"/>
        <v>35.698762256707205</v>
      </c>
      <c r="I486" s="74">
        <f t="shared" si="179"/>
        <v>49.18471901725621</v>
      </c>
      <c r="J486" s="74">
        <f t="shared" si="196"/>
        <v>35.698762256707205</v>
      </c>
      <c r="K486" s="74">
        <f t="shared" si="180"/>
        <v>43.042106963828815</v>
      </c>
      <c r="L486" s="74">
        <f t="shared" si="192"/>
        <v>1.8446396649834846</v>
      </c>
      <c r="M486" s="74">
        <f t="shared" si="197"/>
        <v>3.3129719635610875</v>
      </c>
      <c r="N486" s="74">
        <f t="shared" si="193"/>
        <v>0.5678815425034818</v>
      </c>
      <c r="O486" s="74">
        <f t="shared" si="194"/>
        <v>65.15982753649635</v>
      </c>
      <c r="P486" s="74">
        <f t="shared" si="195"/>
        <v>0.2839554411082241</v>
      </c>
    </row>
    <row r="487" spans="2:16" ht="13.5">
      <c r="B487" s="74">
        <f t="shared" si="185"/>
        <v>43.54702270008745</v>
      </c>
      <c r="C487" s="70">
        <f t="shared" si="187"/>
        <v>57.121</v>
      </c>
      <c r="D487" s="70">
        <f t="shared" si="186"/>
        <v>73</v>
      </c>
      <c r="E487" s="74">
        <f t="shared" si="188"/>
        <v>0.996949522031681</v>
      </c>
      <c r="F487" s="74">
        <f t="shared" si="189"/>
        <v>1.2740903539558606</v>
      </c>
      <c r="G487" s="74">
        <f t="shared" si="190"/>
        <v>97.85019600591959</v>
      </c>
      <c r="H487" s="74">
        <f t="shared" si="191"/>
        <v>33.86975581055276</v>
      </c>
      <c r="I487" s="74">
        <f t="shared" si="179"/>
        <v>46.27998190580472</v>
      </c>
      <c r="J487" s="74">
        <f t="shared" si="196"/>
        <v>33.86975581055276</v>
      </c>
      <c r="K487" s="74">
        <f t="shared" si="180"/>
        <v>41.90275921160796</v>
      </c>
      <c r="L487" s="74">
        <f t="shared" si="192"/>
        <v>1.8620929575034282</v>
      </c>
      <c r="M487" s="74">
        <f t="shared" si="197"/>
        <v>3.3298030883232532</v>
      </c>
      <c r="N487" s="74">
        <f t="shared" si="193"/>
        <v>0.5134266852020202</v>
      </c>
      <c r="O487" s="74">
        <f t="shared" si="194"/>
        <v>63.85209298171449</v>
      </c>
      <c r="P487" s="74">
        <f t="shared" si="195"/>
        <v>0.28649017413171163</v>
      </c>
    </row>
    <row r="488" spans="2:16" ht="13.5">
      <c r="B488" s="74">
        <f t="shared" si="185"/>
        <v>43.46534466725979</v>
      </c>
      <c r="C488" s="70">
        <f t="shared" si="187"/>
        <v>57.121</v>
      </c>
      <c r="D488" s="70">
        <f t="shared" si="186"/>
        <v>74</v>
      </c>
      <c r="E488" s="74">
        <f t="shared" si="188"/>
        <v>0.996949522031681</v>
      </c>
      <c r="F488" s="74">
        <f t="shared" si="189"/>
        <v>1.2915436464758039</v>
      </c>
      <c r="G488" s="74">
        <f t="shared" si="190"/>
        <v>97.85019600591959</v>
      </c>
      <c r="H488" s="74">
        <f t="shared" si="191"/>
        <v>32.02150453781869</v>
      </c>
      <c r="I488" s="74">
        <f aca="true" t="shared" si="198" ref="I488:I508">(0.5*$D$3*$D$9+$D$6)*$D$9/TAN(F488)</f>
        <v>43.40608276923955</v>
      </c>
      <c r="J488" s="74">
        <f aca="true" t="shared" si="199" ref="J488:J519">0.5*$J$18*N488*$D$3+$G$18</f>
        <v>32.02150453781869</v>
      </c>
      <c r="K488" s="74">
        <f aca="true" t="shared" si="200" ref="K488:K508">0.5*$D$3*$D$8^2*(1/TAN(F488)-1/TAN($D$16))+$G$19</f>
        <v>40.77550727942922</v>
      </c>
      <c r="L488" s="74">
        <f t="shared" si="192"/>
        <v>1.8795462500233713</v>
      </c>
      <c r="M488" s="74">
        <f aca="true" t="shared" si="201" ref="M488:M519">J$18/SIN(L488)*SIN(J$19)</f>
        <v>3.347831092152982</v>
      </c>
      <c r="N488" s="74">
        <f t="shared" si="193"/>
        <v>0.4583988532741495</v>
      </c>
      <c r="O488" s="74">
        <f t="shared" si="194"/>
        <v>62.57082116284001</v>
      </c>
      <c r="P488" s="74">
        <f t="shared" si="195"/>
        <v>0.29037098444199905</v>
      </c>
    </row>
    <row r="489" spans="2:16" ht="13.5">
      <c r="B489" s="74">
        <f t="shared" si="185"/>
        <v>43.3553975267541</v>
      </c>
      <c r="C489" s="70">
        <f t="shared" si="187"/>
        <v>57.121</v>
      </c>
      <c r="D489" s="70">
        <f t="shared" si="186"/>
        <v>75</v>
      </c>
      <c r="E489" s="74">
        <f t="shared" si="188"/>
        <v>0.996949522031681</v>
      </c>
      <c r="F489" s="74">
        <f t="shared" si="189"/>
        <v>1.3089969389957472</v>
      </c>
      <c r="G489" s="74">
        <f t="shared" si="190"/>
        <v>97.85019600591959</v>
      </c>
      <c r="H489" s="74">
        <f t="shared" si="191"/>
        <v>30.152558557855457</v>
      </c>
      <c r="I489" s="74">
        <f t="shared" si="198"/>
        <v>40.560809004261195</v>
      </c>
      <c r="J489" s="74">
        <f t="shared" si="199"/>
        <v>30.152558557855457</v>
      </c>
      <c r="K489" s="74">
        <f t="shared" si="200"/>
        <v>39.65948330059791</v>
      </c>
      <c r="L489" s="74">
        <f t="shared" si="192"/>
        <v>1.8969995425433148</v>
      </c>
      <c r="M489" s="74">
        <f t="shared" si="201"/>
        <v>3.3670866011551928</v>
      </c>
      <c r="N489" s="74">
        <f t="shared" si="193"/>
        <v>0.4027548795434824</v>
      </c>
      <c r="O489" s="74">
        <f t="shared" si="194"/>
        <v>61.31379118441259</v>
      </c>
      <c r="P489" s="74">
        <f t="shared" si="195"/>
        <v>0.29560375433418673</v>
      </c>
    </row>
    <row r="490" spans="2:16" ht="13.5">
      <c r="B490" s="74">
        <f t="shared" si="185"/>
        <v>43.21709774374283</v>
      </c>
      <c r="C490" s="70">
        <f t="shared" si="187"/>
        <v>57.121</v>
      </c>
      <c r="D490" s="70">
        <f t="shared" si="186"/>
        <v>76</v>
      </c>
      <c r="E490" s="74">
        <f t="shared" si="188"/>
        <v>0.996949522031681</v>
      </c>
      <c r="F490" s="74">
        <f t="shared" si="189"/>
        <v>1.3264502315156903</v>
      </c>
      <c r="G490" s="74">
        <f t="shared" si="190"/>
        <v>97.85019600591959</v>
      </c>
      <c r="H490" s="74">
        <f t="shared" si="191"/>
        <v>28.2614098159386</v>
      </c>
      <c r="I490" s="74">
        <f t="shared" si="198"/>
        <v>37.7420264303865</v>
      </c>
      <c r="J490" s="74">
        <f t="shared" si="199"/>
        <v>28.2614098159386</v>
      </c>
      <c r="K490" s="74">
        <f t="shared" si="200"/>
        <v>38.55385016881386</v>
      </c>
      <c r="L490" s="74">
        <f t="shared" si="192"/>
        <v>1.914452835063258</v>
      </c>
      <c r="M490" s="74">
        <f t="shared" si="201"/>
        <v>3.3876027589624966</v>
      </c>
      <c r="N490" s="74">
        <f t="shared" si="193"/>
        <v>0.34644986482172163</v>
      </c>
      <c r="O490" s="74">
        <f t="shared" si="194"/>
        <v>60.078835792760344</v>
      </c>
      <c r="P490" s="74">
        <f t="shared" si="195"/>
        <v>0.30219989073259435</v>
      </c>
    </row>
    <row r="491" spans="2:16" ht="13.5">
      <c r="B491" s="74">
        <f t="shared" si="185"/>
        <v>43.05028126140426</v>
      </c>
      <c r="C491" s="70">
        <f t="shared" si="187"/>
        <v>57.121</v>
      </c>
      <c r="D491" s="70">
        <f t="shared" si="186"/>
        <v>77</v>
      </c>
      <c r="E491" s="74">
        <f t="shared" si="188"/>
        <v>0.996949522031681</v>
      </c>
      <c r="F491" s="74">
        <f t="shared" si="189"/>
        <v>1.3439035240356338</v>
      </c>
      <c r="G491" s="74">
        <f t="shared" si="190"/>
        <v>97.85019600591959</v>
      </c>
      <c r="H491" s="74">
        <f t="shared" si="191"/>
        <v>26.34648681054474</v>
      </c>
      <c r="I491" s="74">
        <f t="shared" si="198"/>
        <v>34.9476724316321</v>
      </c>
      <c r="J491" s="74">
        <f t="shared" si="199"/>
        <v>26.34648681054474</v>
      </c>
      <c r="K491" s="74">
        <f t="shared" si="200"/>
        <v>37.4577988480803</v>
      </c>
      <c r="L491" s="74">
        <f t="shared" si="192"/>
        <v>1.9319061275832015</v>
      </c>
      <c r="M491" s="74">
        <f t="shared" si="201"/>
        <v>3.409415373203253</v>
      </c>
      <c r="N491" s="74">
        <f t="shared" si="193"/>
        <v>0.2894370209242849</v>
      </c>
      <c r="O491" s="74">
        <f t="shared" si="194"/>
        <v>58.86383177673631</v>
      </c>
      <c r="P491" s="74">
        <f t="shared" si="195"/>
        <v>0.31017612554228535</v>
      </c>
    </row>
    <row r="492" spans="2:16" ht="13.5">
      <c r="B492" s="74">
        <f t="shared" si="185"/>
        <v>42.85470272028515</v>
      </c>
      <c r="C492" s="70">
        <f t="shared" si="187"/>
        <v>57.121</v>
      </c>
      <c r="D492" s="70">
        <f t="shared" si="186"/>
        <v>78</v>
      </c>
      <c r="E492" s="74">
        <f t="shared" si="188"/>
        <v>0.996949522031681</v>
      </c>
      <c r="F492" s="74">
        <f t="shared" si="189"/>
        <v>1.361356816555577</v>
      </c>
      <c r="G492" s="74">
        <f t="shared" si="190"/>
        <v>97.85019600591959</v>
      </c>
      <c r="H492" s="74">
        <f t="shared" si="191"/>
        <v>24.40614891650218</v>
      </c>
      <c r="I492" s="74">
        <f t="shared" si="198"/>
        <v>32.17574952279962</v>
      </c>
      <c r="J492" s="74">
        <f t="shared" si="199"/>
        <v>24.40614891650218</v>
      </c>
      <c r="K492" s="74">
        <f t="shared" si="200"/>
        <v>36.370545849157565</v>
      </c>
      <c r="L492" s="74">
        <f t="shared" si="192"/>
        <v>1.9493594201031446</v>
      </c>
      <c r="M492" s="74">
        <f t="shared" si="201"/>
        <v>3.4325630767730444</v>
      </c>
      <c r="N492" s="74">
        <f t="shared" si="193"/>
        <v>0.23166750165393885</v>
      </c>
      <c r="O492" s="74">
        <f t="shared" si="194"/>
        <v>57.666690597967104</v>
      </c>
      <c r="P492" s="74">
        <f t="shared" si="195"/>
        <v>0.31955428055772434</v>
      </c>
    </row>
    <row r="493" spans="2:16" ht="13.5">
      <c r="B493" s="74">
        <f t="shared" si="185"/>
        <v>42.63003416098125</v>
      </c>
      <c r="C493" s="70">
        <f t="shared" si="187"/>
        <v>57.121</v>
      </c>
      <c r="D493" s="70">
        <f t="shared" si="186"/>
        <v>79</v>
      </c>
      <c r="E493" s="74">
        <f t="shared" si="188"/>
        <v>0.996949522031681</v>
      </c>
      <c r="F493" s="74">
        <f t="shared" si="189"/>
        <v>1.3788101090755203</v>
      </c>
      <c r="G493" s="74">
        <f t="shared" si="190"/>
        <v>97.85019600591959</v>
      </c>
      <c r="H493" s="74">
        <f t="shared" si="191"/>
        <v>22.438680258289008</v>
      </c>
      <c r="I493" s="74">
        <f t="shared" si="198"/>
        <v>29.424319295722153</v>
      </c>
      <c r="J493" s="74">
        <f t="shared" si="199"/>
        <v>22.438680258289008</v>
      </c>
      <c r="K493" s="74">
        <f t="shared" si="200"/>
        <v>35.29133085505204</v>
      </c>
      <c r="L493" s="74">
        <f t="shared" si="192"/>
        <v>1.9668127126230877</v>
      </c>
      <c r="M493" s="74">
        <f t="shared" si="201"/>
        <v>3.4570875053272205</v>
      </c>
      <c r="N493" s="74">
        <f t="shared" si="193"/>
        <v>0.17309022039101127</v>
      </c>
      <c r="O493" s="74">
        <f t="shared" si="194"/>
        <v>56.485349170203854</v>
      </c>
      <c r="P493" s="74">
        <f t="shared" si="195"/>
        <v>0.33036098231146643</v>
      </c>
    </row>
    <row r="494" spans="2:16" ht="13.5">
      <c r="B494" s="74">
        <f t="shared" si="185"/>
        <v>42.37586319655102</v>
      </c>
      <c r="C494" s="70">
        <f t="shared" si="187"/>
        <v>57.121</v>
      </c>
      <c r="D494" s="70">
        <f t="shared" si="186"/>
        <v>80</v>
      </c>
      <c r="E494" s="74">
        <f t="shared" si="188"/>
        <v>0.996949522031681</v>
      </c>
      <c r="F494" s="74">
        <f t="shared" si="189"/>
        <v>1.3962634015954636</v>
      </c>
      <c r="G494" s="74">
        <f t="shared" si="190"/>
        <v>97.85019600591959</v>
      </c>
      <c r="H494" s="74">
        <f t="shared" si="191"/>
        <v>20.442283082501756</v>
      </c>
      <c r="I494" s="74">
        <f t="shared" si="198"/>
        <v>26.691496704743898</v>
      </c>
      <c r="J494" s="74">
        <f t="shared" si="199"/>
        <v>20.442283082501756</v>
      </c>
      <c r="K494" s="74">
        <f t="shared" si="200"/>
        <v>34.21941447956511</v>
      </c>
      <c r="L494" s="74">
        <f t="shared" si="192"/>
        <v>1.9842660051430312</v>
      </c>
      <c r="M494" s="74">
        <f t="shared" si="201"/>
        <v>3.483033492591896</v>
      </c>
      <c r="N494" s="74">
        <f t="shared" si="193"/>
        <v>0.1136516527724497</v>
      </c>
      <c r="O494" s="74">
        <f t="shared" si="194"/>
        <v>55.31776070852514</v>
      </c>
      <c r="P494" s="74">
        <f t="shared" si="195"/>
        <v>0.3426273086370486</v>
      </c>
    </row>
    <row r="495" spans="2:16" ht="13.5">
      <c r="B495" s="74">
        <f t="shared" si="185"/>
        <v>42.09169063496826</v>
      </c>
      <c r="C495" s="70">
        <f t="shared" si="187"/>
        <v>57.121</v>
      </c>
      <c r="D495" s="70">
        <f t="shared" si="186"/>
        <v>81</v>
      </c>
      <c r="E495" s="74">
        <f t="shared" si="188"/>
        <v>0.996949522031681</v>
      </c>
      <c r="F495" s="74">
        <f t="shared" si="189"/>
        <v>1.413716694115407</v>
      </c>
      <c r="G495" s="74">
        <f t="shared" si="190"/>
        <v>97.85019600591959</v>
      </c>
      <c r="H495" s="74">
        <f t="shared" si="191"/>
        <v>18.415070572518374</v>
      </c>
      <c r="I495" s="74">
        <f t="shared" si="198"/>
        <v>23.97544465412669</v>
      </c>
      <c r="J495" s="74">
        <f t="shared" si="199"/>
        <v>18.415070572518374</v>
      </c>
      <c r="K495" s="74">
        <f t="shared" si="200"/>
        <v>33.15407614426935</v>
      </c>
      <c r="L495" s="74">
        <f t="shared" si="192"/>
        <v>2.0017192976629743</v>
      </c>
      <c r="M495" s="74">
        <f t="shared" si="201"/>
        <v>3.510449285294637</v>
      </c>
      <c r="N495" s="74">
        <f t="shared" si="193"/>
        <v>0.053295622763378</v>
      </c>
      <c r="O495" s="74">
        <f t="shared" si="194"/>
        <v>54.16188556916126</v>
      </c>
      <c r="P495" s="74">
        <f t="shared" si="195"/>
        <v>0.3563883449158356</v>
      </c>
    </row>
    <row r="496" spans="2:16" ht="13.5">
      <c r="B496" s="74">
        <f t="shared" si="185"/>
        <v>43.57643884731224</v>
      </c>
      <c r="C496" s="70">
        <f t="shared" si="187"/>
        <v>57.121</v>
      </c>
      <c r="D496" s="70">
        <f t="shared" si="186"/>
        <v>82</v>
      </c>
      <c r="E496" s="74">
        <f t="shared" si="188"/>
        <v>0.996949522031681</v>
      </c>
      <c r="F496" s="74">
        <f t="shared" si="189"/>
        <v>1.43116998663535</v>
      </c>
      <c r="G496" s="74">
        <f t="shared" si="190"/>
        <v>97.85019600591959</v>
      </c>
      <c r="H496" s="74">
        <f t="shared" si="191"/>
        <v>21.274368853074545</v>
      </c>
      <c r="I496" s="74">
        <f t="shared" si="198"/>
        <v>21.274368853074545</v>
      </c>
      <c r="J496" s="74">
        <f t="shared" si="199"/>
        <v>16.355059041525283</v>
      </c>
      <c r="K496" s="74">
        <f t="shared" si="200"/>
        <v>32.09461206045451</v>
      </c>
      <c r="L496" s="74">
        <f t="shared" si="192"/>
        <v>2.0191725901829174</v>
      </c>
      <c r="M496" s="74">
        <f t="shared" si="201"/>
        <v>3.539386779747792</v>
      </c>
      <c r="N496" s="74">
        <f t="shared" si="193"/>
        <v>-0.008036929779261789</v>
      </c>
      <c r="O496" s="74">
        <f t="shared" si="194"/>
        <v>55.29929464523558</v>
      </c>
      <c r="P496" s="74">
        <f t="shared" si="195"/>
        <v>0.2850938969825738</v>
      </c>
    </row>
    <row r="497" spans="2:16" ht="13.5">
      <c r="B497" s="74">
        <f t="shared" si="185"/>
        <v>43.029715193244186</v>
      </c>
      <c r="C497" s="70">
        <f t="shared" si="187"/>
        <v>57.121</v>
      </c>
      <c r="D497" s="70">
        <f t="shared" si="186"/>
        <v>83</v>
      </c>
      <c r="E497" s="74">
        <f t="shared" si="188"/>
        <v>0.996949522031681</v>
      </c>
      <c r="F497" s="74">
        <f t="shared" si="189"/>
        <v>1.4486232791552935</v>
      </c>
      <c r="G497" s="74">
        <f t="shared" si="190"/>
        <v>97.85019600591959</v>
      </c>
      <c r="H497" s="74">
        <f t="shared" si="191"/>
        <v>18.586512906677186</v>
      </c>
      <c r="I497" s="74">
        <f t="shared" si="198"/>
        <v>18.586512906677186</v>
      </c>
      <c r="J497" s="74">
        <f t="shared" si="199"/>
        <v>14.26015943222883</v>
      </c>
      <c r="K497" s="74">
        <f t="shared" si="200"/>
        <v>31.040333303609955</v>
      </c>
      <c r="L497" s="74">
        <f t="shared" si="192"/>
        <v>2.036625882702861</v>
      </c>
      <c r="M497" s="74">
        <f t="shared" si="201"/>
        <v>3.569901782381449</v>
      </c>
      <c r="N497" s="74">
        <f t="shared" si="193"/>
        <v>-0.0704082021850964</v>
      </c>
      <c r="O497" s="74">
        <f t="shared" si="194"/>
        <v>53.879040753767754</v>
      </c>
      <c r="P497" s="74">
        <f t="shared" si="195"/>
        <v>0.3111609536231325</v>
      </c>
    </row>
    <row r="498" spans="2:16" ht="13.5">
      <c r="B498" s="74">
        <f t="shared" si="185"/>
        <v>42.46454534022394</v>
      </c>
      <c r="C498" s="70">
        <f t="shared" si="187"/>
        <v>57.121</v>
      </c>
      <c r="D498" s="70">
        <f t="shared" si="186"/>
        <v>84</v>
      </c>
      <c r="E498" s="74">
        <f t="shared" si="188"/>
        <v>0.996949522031681</v>
      </c>
      <c r="F498" s="74">
        <f t="shared" si="189"/>
        <v>1.4660765716752369</v>
      </c>
      <c r="G498" s="74">
        <f t="shared" si="190"/>
        <v>97.85019600591959</v>
      </c>
      <c r="H498" s="74">
        <f t="shared" si="191"/>
        <v>15.910153613341771</v>
      </c>
      <c r="I498" s="74">
        <f t="shared" si="198"/>
        <v>15.910153613341771</v>
      </c>
      <c r="J498" s="74">
        <f t="shared" si="199"/>
        <v>12.128168042573405</v>
      </c>
      <c r="K498" s="74">
        <f t="shared" si="200"/>
        <v>29.990563968899536</v>
      </c>
      <c r="L498" s="74">
        <f t="shared" si="192"/>
        <v>2.0540791752228045</v>
      </c>
      <c r="M498" s="74">
        <f t="shared" si="201"/>
        <v>3.602054296824678</v>
      </c>
      <c r="N498" s="74">
        <f t="shared" si="193"/>
        <v>-0.1338838050927462</v>
      </c>
      <c r="O498" s="74">
        <f t="shared" si="194"/>
        <v>52.489064674138724</v>
      </c>
      <c r="P498" s="74">
        <f t="shared" si="195"/>
        <v>0.33834280849014076</v>
      </c>
    </row>
    <row r="499" spans="2:16" ht="13.5">
      <c r="B499" s="74">
        <f t="shared" si="185"/>
        <v>41.88087435730279</v>
      </c>
      <c r="C499" s="70">
        <f t="shared" si="187"/>
        <v>57.121</v>
      </c>
      <c r="D499" s="70">
        <f t="shared" si="186"/>
        <v>85</v>
      </c>
      <c r="E499" s="74">
        <f t="shared" si="188"/>
        <v>0.996949522031681</v>
      </c>
      <c r="F499" s="74">
        <f t="shared" si="189"/>
        <v>1.4835298641951802</v>
      </c>
      <c r="G499" s="74">
        <f t="shared" si="190"/>
        <v>97.85019600591959</v>
      </c>
      <c r="H499" s="74">
        <f t="shared" si="191"/>
        <v>13.24359644123674</v>
      </c>
      <c r="I499" s="74">
        <f t="shared" si="198"/>
        <v>13.24359644123674</v>
      </c>
      <c r="J499" s="74">
        <f t="shared" si="199"/>
        <v>9.956756386451493</v>
      </c>
      <c r="K499" s="74">
        <f t="shared" si="200"/>
        <v>28.944639396851734</v>
      </c>
      <c r="L499" s="74">
        <f t="shared" si="192"/>
        <v>2.0715324677427476</v>
      </c>
      <c r="M499" s="74">
        <f t="shared" si="201"/>
        <v>3.6359088404790922</v>
      </c>
      <c r="N499" s="74">
        <f t="shared" si="193"/>
        <v>-0.1985330643260647</v>
      </c>
      <c r="O499" s="74">
        <f t="shared" si="194"/>
        <v>51.12710717050652</v>
      </c>
      <c r="P499" s="74">
        <f t="shared" si="195"/>
        <v>0.3666262320713598</v>
      </c>
    </row>
    <row r="500" spans="2:16" ht="13.5">
      <c r="B500" s="74">
        <f t="shared" si="185"/>
        <v>41.278598368738045</v>
      </c>
      <c r="C500" s="70">
        <f t="shared" si="187"/>
        <v>57.121</v>
      </c>
      <c r="D500" s="70">
        <f t="shared" si="186"/>
        <v>86</v>
      </c>
      <c r="E500" s="74">
        <f t="shared" si="188"/>
        <v>0.996949522031681</v>
      </c>
      <c r="F500" s="74">
        <f t="shared" si="189"/>
        <v>1.5009831567151233</v>
      </c>
      <c r="G500" s="74">
        <f t="shared" si="190"/>
        <v>97.85019600591959</v>
      </c>
      <c r="H500" s="74">
        <f t="shared" si="191"/>
        <v>10.585171157948913</v>
      </c>
      <c r="I500" s="74">
        <f t="shared" si="198"/>
        <v>10.585171157948913</v>
      </c>
      <c r="J500" s="74">
        <f t="shared" si="199"/>
        <v>7.743460086500027</v>
      </c>
      <c r="K500" s="74">
        <f t="shared" si="200"/>
        <v>27.90190445914594</v>
      </c>
      <c r="L500" s="74">
        <f t="shared" si="192"/>
        <v>2.0889857602626907</v>
      </c>
      <c r="M500" s="74">
        <f t="shared" si="201"/>
        <v>3.6715347939252476</v>
      </c>
      <c r="N500" s="74">
        <f t="shared" si="193"/>
        <v>-0.26442935158799213</v>
      </c>
      <c r="O500" s="74">
        <f t="shared" si="194"/>
        <v>49.79098624145586</v>
      </c>
      <c r="P500" s="74">
        <f t="shared" si="195"/>
        <v>0.3959914472191304</v>
      </c>
    </row>
    <row r="501" spans="2:16" ht="13.5">
      <c r="B501" s="74">
        <f t="shared" si="185"/>
        <v>40.65756527149173</v>
      </c>
      <c r="C501" s="70">
        <f t="shared" si="187"/>
        <v>57.121</v>
      </c>
      <c r="D501" s="70">
        <f t="shared" si="186"/>
        <v>87</v>
      </c>
      <c r="E501" s="74">
        <f t="shared" si="188"/>
        <v>0.996949522031681</v>
      </c>
      <c r="F501" s="74">
        <f t="shared" si="189"/>
        <v>1.5184364492350666</v>
      </c>
      <c r="G501" s="74">
        <f t="shared" si="190"/>
        <v>97.85019600591959</v>
      </c>
      <c r="H501" s="74">
        <f t="shared" si="191"/>
        <v>7.933227588970383</v>
      </c>
      <c r="I501" s="74">
        <f t="shared" si="198"/>
        <v>7.933227588970383</v>
      </c>
      <c r="J501" s="74">
        <f t="shared" si="199"/>
        <v>5.4856666823648865</v>
      </c>
      <c r="K501" s="74">
        <f t="shared" si="200"/>
        <v>26.861711894930572</v>
      </c>
      <c r="L501" s="74">
        <f t="shared" si="192"/>
        <v>2.106439052782634</v>
      </c>
      <c r="M501" s="74">
        <f t="shared" si="201"/>
        <v>3.7090067869585464</v>
      </c>
      <c r="N501" s="74">
        <f t="shared" si="193"/>
        <v>-0.3316504474440855</v>
      </c>
      <c r="O501" s="74">
        <f t="shared" si="194"/>
        <v>48.478588405808345</v>
      </c>
      <c r="P501" s="74">
        <f t="shared" si="195"/>
        <v>0.4264112483894103</v>
      </c>
    </row>
    <row r="502" spans="2:16" ht="13.5">
      <c r="B502" s="74">
        <f t="shared" si="185"/>
        <v>40.01757518196177</v>
      </c>
      <c r="C502" s="70">
        <f t="shared" si="187"/>
        <v>57.121</v>
      </c>
      <c r="D502" s="70">
        <f t="shared" si="186"/>
        <v>88</v>
      </c>
      <c r="E502" s="74">
        <f t="shared" si="188"/>
        <v>0.996949522031681</v>
      </c>
      <c r="F502" s="74">
        <f t="shared" si="189"/>
        <v>1.53588974175501</v>
      </c>
      <c r="G502" s="74">
        <f t="shared" si="190"/>
        <v>97.85019600591959</v>
      </c>
      <c r="H502" s="74">
        <f t="shared" si="191"/>
        <v>5.286131481813329</v>
      </c>
      <c r="I502" s="74">
        <f t="shared" si="198"/>
        <v>5.286131481813329</v>
      </c>
      <c r="J502" s="74">
        <f t="shared" si="199"/>
        <v>3.180602221976846</v>
      </c>
      <c r="K502" s="74">
        <f t="shared" si="200"/>
        <v>25.823420688572526</v>
      </c>
      <c r="L502" s="74">
        <f t="shared" si="192"/>
        <v>2.1238923453025773</v>
      </c>
      <c r="M502" s="74">
        <f t="shared" si="201"/>
        <v>3.7484051255774977</v>
      </c>
      <c r="N502" s="74">
        <f t="shared" si="193"/>
        <v>-0.4002789405393484</v>
      </c>
      <c r="O502" s="74">
        <f t="shared" si="194"/>
        <v>47.18786040948833</v>
      </c>
      <c r="P502" s="74">
        <f t="shared" si="195"/>
        <v>0.45785020103046153</v>
      </c>
    </row>
    <row r="503" spans="2:16" ht="13.5">
      <c r="B503" s="74">
        <f t="shared" si="185"/>
        <v>39.358380620296046</v>
      </c>
      <c r="C503" s="70">
        <f t="shared" si="187"/>
        <v>57.121</v>
      </c>
      <c r="D503" s="70">
        <f t="shared" si="186"/>
        <v>89</v>
      </c>
      <c r="E503" s="74">
        <f t="shared" si="188"/>
        <v>0.996949522031681</v>
      </c>
      <c r="F503" s="74">
        <f t="shared" si="189"/>
        <v>1.5533430342749535</v>
      </c>
      <c r="G503" s="74">
        <f t="shared" si="190"/>
        <v>97.85019600591959</v>
      </c>
      <c r="H503" s="74">
        <f t="shared" si="191"/>
        <v>2.642260453508916</v>
      </c>
      <c r="I503" s="74">
        <f t="shared" si="198"/>
        <v>2.642260453508916</v>
      </c>
      <c r="J503" s="74">
        <f t="shared" si="199"/>
        <v>0.8253164850416557</v>
      </c>
      <c r="K503" s="74">
        <f t="shared" si="200"/>
        <v>24.78639448011291</v>
      </c>
      <c r="L503" s="74">
        <f t="shared" si="192"/>
        <v>2.141345637822521</v>
      </c>
      <c r="M503" s="74">
        <f t="shared" si="201"/>
        <v>3.7898162648555984</v>
      </c>
      <c r="N503" s="74">
        <f t="shared" si="193"/>
        <v>-0.47040266753803595</v>
      </c>
      <c r="O503" s="74">
        <f t="shared" si="194"/>
        <v>45.916801291949994</v>
      </c>
      <c r="P503" s="74">
        <f t="shared" si="195"/>
        <v>0.49026396330261446</v>
      </c>
    </row>
    <row r="504" spans="2:16" ht="13.5">
      <c r="B504" s="74">
        <f t="shared" si="185"/>
        <v>38.67968643813337</v>
      </c>
      <c r="C504" s="70">
        <f t="shared" si="187"/>
        <v>57.121</v>
      </c>
      <c r="D504" s="70">
        <f t="shared" si="186"/>
        <v>90</v>
      </c>
      <c r="E504" s="74">
        <f t="shared" si="188"/>
        <v>0.996949522031681</v>
      </c>
      <c r="F504" s="74">
        <f t="shared" si="189"/>
        <v>1.5707963267948966</v>
      </c>
      <c r="G504" s="74">
        <f t="shared" si="190"/>
        <v>97.85019600591959</v>
      </c>
      <c r="H504" s="74">
        <f t="shared" si="191"/>
        <v>9.272842368089618E-15</v>
      </c>
      <c r="I504" s="74">
        <f t="shared" si="198"/>
        <v>9.272842368089618E-15</v>
      </c>
      <c r="J504" s="74">
        <f t="shared" si="199"/>
        <v>-1.5833333333333073</v>
      </c>
      <c r="K504" s="74">
        <f t="shared" si="200"/>
        <v>23.750000000000007</v>
      </c>
      <c r="L504" s="74">
        <f t="shared" si="192"/>
        <v>2.158798930342464</v>
      </c>
      <c r="M504" s="74">
        <f t="shared" si="201"/>
        <v>3.8333333333333317</v>
      </c>
      <c r="N504" s="74">
        <f t="shared" si="193"/>
        <v>-0.5421151989096857</v>
      </c>
      <c r="O504" s="74">
        <f t="shared" si="194"/>
        <v>44.66345475445324</v>
      </c>
      <c r="P504" s="74">
        <f t="shared" si="195"/>
        <v>0.5235987755982986</v>
      </c>
    </row>
    <row r="505" spans="2:16" ht="13.5">
      <c r="B505" s="74">
        <f t="shared" si="185"/>
        <v>41.84405769663288</v>
      </c>
      <c r="C505" s="70">
        <f>C504+J407</f>
        <v>58.081</v>
      </c>
      <c r="D505" s="70">
        <f t="shared" si="186"/>
        <v>60</v>
      </c>
      <c r="E505" s="74">
        <f t="shared" si="188"/>
        <v>1.0137046828508265</v>
      </c>
      <c r="F505" s="74">
        <f t="shared" si="189"/>
        <v>1.0471975511965976</v>
      </c>
      <c r="G505" s="74">
        <f t="shared" si="190"/>
        <v>94.2922998743363</v>
      </c>
      <c r="H505" s="74">
        <f t="shared" si="191"/>
        <v>56.61327536344993</v>
      </c>
      <c r="I505" s="74">
        <f t="shared" si="198"/>
        <v>87.39639699857963</v>
      </c>
      <c r="J505" s="74">
        <f t="shared" si="199"/>
        <v>56.61327536344993</v>
      </c>
      <c r="K505" s="74">
        <f t="shared" si="200"/>
        <v>58.03017223313404</v>
      </c>
      <c r="L505" s="74">
        <f t="shared" si="192"/>
        <v>1.6352001547441652</v>
      </c>
      <c r="M505" s="74">
        <f t="shared" si="201"/>
        <v>3.196152422706631</v>
      </c>
      <c r="N505" s="74">
        <f t="shared" si="193"/>
        <v>1.1905676074715958</v>
      </c>
      <c r="O505" s="74">
        <f t="shared" si="194"/>
        <v>83.68811539326578</v>
      </c>
      <c r="P505" s="74">
        <f t="shared" si="195"/>
        <v>0.3623535726673778</v>
      </c>
    </row>
    <row r="506" spans="2:16" ht="13.5">
      <c r="B506" s="74">
        <f t="shared" si="185"/>
        <v>42.16620981662489</v>
      </c>
      <c r="C506" s="70">
        <f>C505</f>
        <v>58.081</v>
      </c>
      <c r="D506" s="70">
        <f t="shared" si="186"/>
        <v>61</v>
      </c>
      <c r="E506" s="74">
        <f t="shared" si="188"/>
        <v>1.0137046828508265</v>
      </c>
      <c r="F506" s="74">
        <f t="shared" si="189"/>
        <v>1.064650843716541</v>
      </c>
      <c r="G506" s="74">
        <f t="shared" si="190"/>
        <v>94.2922998743363</v>
      </c>
      <c r="H506" s="74">
        <f t="shared" si="191"/>
        <v>54.91741842603781</v>
      </c>
      <c r="I506" s="74">
        <f t="shared" si="198"/>
        <v>83.90853266366291</v>
      </c>
      <c r="J506" s="74">
        <f t="shared" si="199"/>
        <v>54.91741842603781</v>
      </c>
      <c r="K506" s="74">
        <f t="shared" si="200"/>
        <v>56.662099930008154</v>
      </c>
      <c r="L506" s="74">
        <f t="shared" si="192"/>
        <v>1.6526534472641083</v>
      </c>
      <c r="M506" s="74">
        <f t="shared" si="201"/>
        <v>3.200241894286732</v>
      </c>
      <c r="N506" s="74">
        <f t="shared" si="193"/>
        <v>1.1400769994561701</v>
      </c>
      <c r="O506" s="74">
        <f t="shared" si="194"/>
        <v>81.8700827584228</v>
      </c>
      <c r="P506" s="74">
        <f t="shared" si="195"/>
        <v>0.3472153532004736</v>
      </c>
    </row>
    <row r="507" spans="2:16" ht="13.5">
      <c r="B507" s="74">
        <f t="shared" si="185"/>
        <v>42.45273981549755</v>
      </c>
      <c r="C507" s="70">
        <f aca="true" t="shared" si="202" ref="C507:C530">C506</f>
        <v>58.081</v>
      </c>
      <c r="D507" s="70">
        <f>D476</f>
        <v>62</v>
      </c>
      <c r="E507" s="74">
        <f t="shared" si="188"/>
        <v>1.0137046828508265</v>
      </c>
      <c r="F507" s="74">
        <f t="shared" si="189"/>
        <v>1.0821041362364843</v>
      </c>
      <c r="G507" s="74">
        <f t="shared" si="190"/>
        <v>94.2922998743363</v>
      </c>
      <c r="H507" s="74">
        <f t="shared" si="191"/>
        <v>53.21669751699319</v>
      </c>
      <c r="I507" s="74">
        <f t="shared" si="198"/>
        <v>80.48751521775635</v>
      </c>
      <c r="J507" s="74">
        <f t="shared" si="199"/>
        <v>53.21669751699319</v>
      </c>
      <c r="K507" s="74">
        <f t="shared" si="200"/>
        <v>55.3202475049003</v>
      </c>
      <c r="L507" s="74">
        <f t="shared" si="192"/>
        <v>1.6701067397840519</v>
      </c>
      <c r="M507" s="74">
        <f t="shared" si="201"/>
        <v>3.205319466443784</v>
      </c>
      <c r="N507" s="74">
        <f t="shared" si="193"/>
        <v>1.0894415768165406</v>
      </c>
      <c r="O507" s="74">
        <f t="shared" si="194"/>
        <v>80.11171263404968</v>
      </c>
      <c r="P507" s="74">
        <f t="shared" si="195"/>
        <v>0.33380601254987874</v>
      </c>
    </row>
    <row r="508" spans="2:16" ht="13.5">
      <c r="B508" s="74">
        <f t="shared" si="185"/>
        <v>42.70476172529887</v>
      </c>
      <c r="C508" s="70">
        <f t="shared" si="202"/>
        <v>58.081</v>
      </c>
      <c r="D508" s="70">
        <f t="shared" si="186"/>
        <v>63</v>
      </c>
      <c r="E508" s="74">
        <f t="shared" si="188"/>
        <v>1.0137046828508265</v>
      </c>
      <c r="F508" s="74">
        <f t="shared" si="189"/>
        <v>1.0995574287564276</v>
      </c>
      <c r="G508" s="74">
        <f t="shared" si="190"/>
        <v>94.2922998743363</v>
      </c>
      <c r="H508" s="74">
        <f t="shared" si="191"/>
        <v>51.51005054407396</v>
      </c>
      <c r="I508" s="74">
        <f t="shared" si="198"/>
        <v>77.12941491721917</v>
      </c>
      <c r="J508" s="74">
        <f t="shared" si="199"/>
        <v>51.51005054407396</v>
      </c>
      <c r="K508" s="74">
        <f t="shared" si="200"/>
        <v>54.00307356373172</v>
      </c>
      <c r="L508" s="74">
        <f t="shared" si="192"/>
        <v>1.687560032303995</v>
      </c>
      <c r="M508" s="74">
        <f t="shared" si="201"/>
        <v>3.2113929525108333</v>
      </c>
      <c r="N508" s="74">
        <f t="shared" si="193"/>
        <v>1.0386297179684278</v>
      </c>
      <c r="O508" s="74">
        <f t="shared" si="194"/>
        <v>78.40929309101139</v>
      </c>
      <c r="P508" s="74">
        <f t="shared" si="195"/>
        <v>0.3220581167636488</v>
      </c>
    </row>
    <row r="509" spans="2:16" ht="13.5">
      <c r="B509" s="74">
        <f t="shared" si="185"/>
        <v>42.92326862362246</v>
      </c>
      <c r="C509" s="70">
        <f t="shared" si="202"/>
        <v>58.081</v>
      </c>
      <c r="D509" s="70">
        <f t="shared" si="186"/>
        <v>64</v>
      </c>
      <c r="E509" s="74">
        <f t="shared" si="188"/>
        <v>1.0137046828508265</v>
      </c>
      <c r="F509" s="74">
        <f t="shared" si="189"/>
        <v>1.117010721276371</v>
      </c>
      <c r="G509" s="74">
        <f t="shared" si="190"/>
        <v>94.2922998743363</v>
      </c>
      <c r="H509" s="74">
        <f t="shared" si="191"/>
        <v>49.7964007486329</v>
      </c>
      <c r="I509" s="74">
        <f aca="true" t="shared" si="203" ref="I509:I562">(0.5*$D$3*$D$9+$D$6)*$D$9/TAN(F509)</f>
        <v>73.83052059415728</v>
      </c>
      <c r="J509" s="74">
        <f t="shared" si="199"/>
        <v>49.7964007486329</v>
      </c>
      <c r="K509" s="74">
        <f aca="true" t="shared" si="204" ref="K509:K562">0.5*$D$3*$D$8^2*(1/TAN(F509)-1/TAN($D$16))+$G$19</f>
        <v>52.70912244609802</v>
      </c>
      <c r="L509" s="74">
        <f t="shared" si="192"/>
        <v>1.7050133248239385</v>
      </c>
      <c r="M509" s="74">
        <f t="shared" si="201"/>
        <v>3.21847173736185</v>
      </c>
      <c r="N509" s="74">
        <f t="shared" si="193"/>
        <v>0.9876093646658881</v>
      </c>
      <c r="O509" s="74">
        <f t="shared" si="194"/>
        <v>76.75932286910346</v>
      </c>
      <c r="P509" s="74">
        <f t="shared" si="195"/>
        <v>0.311910152260356</v>
      </c>
    </row>
    <row r="510" spans="2:16" ht="13.5">
      <c r="B510" s="74">
        <f t="shared" si="185"/>
        <v>43.10913981082866</v>
      </c>
      <c r="C510" s="70">
        <f t="shared" si="202"/>
        <v>58.081</v>
      </c>
      <c r="D510" s="70">
        <f t="shared" si="186"/>
        <v>65</v>
      </c>
      <c r="E510" s="74">
        <f t="shared" si="188"/>
        <v>1.0137046828508265</v>
      </c>
      <c r="F510" s="74">
        <f t="shared" si="189"/>
        <v>1.1344640137963142</v>
      </c>
      <c r="G510" s="74">
        <f t="shared" si="190"/>
        <v>94.2922998743363</v>
      </c>
      <c r="H510" s="74">
        <f t="shared" si="191"/>
        <v>48.07465394252364</v>
      </c>
      <c r="I510" s="74">
        <f t="shared" si="203"/>
        <v>70.58732175321292</v>
      </c>
      <c r="J510" s="74">
        <f t="shared" si="199"/>
        <v>48.07465394252364</v>
      </c>
      <c r="K510" s="74">
        <f t="shared" si="204"/>
        <v>51.43701720295304</v>
      </c>
      <c r="L510" s="74">
        <f t="shared" si="192"/>
        <v>1.7224666173438816</v>
      </c>
      <c r="M510" s="74">
        <f t="shared" si="201"/>
        <v>3.2265668130425462</v>
      </c>
      <c r="N510" s="74">
        <f t="shared" si="193"/>
        <v>0.9363479397359457</v>
      </c>
      <c r="O510" s="74">
        <f t="shared" si="194"/>
        <v>75.15849166517113</v>
      </c>
      <c r="P510" s="74">
        <f t="shared" si="195"/>
        <v>0.3033068831607345</v>
      </c>
    </row>
    <row r="511" spans="2:16" ht="13.5">
      <c r="B511" s="74">
        <f t="shared" si="185"/>
        <v>43.263147082997264</v>
      </c>
      <c r="C511" s="70">
        <f t="shared" si="202"/>
        <v>58.081</v>
      </c>
      <c r="D511" s="70">
        <f t="shared" si="186"/>
        <v>66</v>
      </c>
      <c r="E511" s="74">
        <f t="shared" si="188"/>
        <v>1.0137046828508265</v>
      </c>
      <c r="F511" s="74">
        <f t="shared" si="189"/>
        <v>1.1519173063162575</v>
      </c>
      <c r="G511" s="74">
        <f t="shared" si="190"/>
        <v>94.2922998743363</v>
      </c>
      <c r="H511" s="74">
        <f t="shared" si="191"/>
        <v>46.34369565210348</v>
      </c>
      <c r="I511" s="74">
        <f t="shared" si="203"/>
        <v>67.39649223857965</v>
      </c>
      <c r="J511" s="74">
        <f t="shared" si="199"/>
        <v>46.34369565210348</v>
      </c>
      <c r="K511" s="74">
        <f t="shared" si="204"/>
        <v>50.18545319019432</v>
      </c>
      <c r="L511" s="74">
        <f t="shared" si="192"/>
        <v>1.7399199098638252</v>
      </c>
      <c r="M511" s="74">
        <f t="shared" si="201"/>
        <v>3.235690820800044</v>
      </c>
      <c r="N511" s="74">
        <f t="shared" si="193"/>
        <v>0.8848122620472225</v>
      </c>
      <c r="O511" s="74">
        <f t="shared" si="194"/>
        <v>73.60366207600963</v>
      </c>
      <c r="P511" s="74">
        <f t="shared" si="195"/>
        <v>0.29619955038616713</v>
      </c>
    </row>
    <row r="512" spans="2:16" ht="13.5">
      <c r="B512" s="74">
        <f t="shared" si="185"/>
        <v>43.38596018024586</v>
      </c>
      <c r="C512" s="70">
        <f t="shared" si="202"/>
        <v>58.081</v>
      </c>
      <c r="D512" s="70">
        <f t="shared" si="186"/>
        <v>67</v>
      </c>
      <c r="E512" s="74">
        <f t="shared" si="188"/>
        <v>1.0137046828508265</v>
      </c>
      <c r="F512" s="74">
        <f t="shared" si="189"/>
        <v>1.1693705988362006</v>
      </c>
      <c r="G512" s="74">
        <f t="shared" si="190"/>
        <v>94.2922998743363</v>
      </c>
      <c r="H512" s="74">
        <f t="shared" si="191"/>
        <v>44.602388153158174</v>
      </c>
      <c r="I512" s="74">
        <f t="shared" si="203"/>
        <v>64.25487530372895</v>
      </c>
      <c r="J512" s="74">
        <f t="shared" si="199"/>
        <v>44.602388153158174</v>
      </c>
      <c r="K512" s="74">
        <f t="shared" si="204"/>
        <v>48.95319221244529</v>
      </c>
      <c r="L512" s="74">
        <f t="shared" si="192"/>
        <v>1.7573732023837683</v>
      </c>
      <c r="M512" s="74">
        <f t="shared" si="201"/>
        <v>3.2458580998131934</v>
      </c>
      <c r="N512" s="74">
        <f t="shared" si="193"/>
        <v>0.8329684582310031</v>
      </c>
      <c r="O512" s="74">
        <f t="shared" si="194"/>
        <v>72.09185299663818</v>
      </c>
      <c r="P512" s="74">
        <f t="shared" si="195"/>
        <v>0.2905459562566531</v>
      </c>
    </row>
    <row r="513" spans="2:16" ht="13.5">
      <c r="B513" s="74">
        <f t="shared" si="185"/>
        <v>43.47815147834444</v>
      </c>
      <c r="C513" s="70">
        <f t="shared" si="202"/>
        <v>58.081</v>
      </c>
      <c r="D513" s="70">
        <f>D482</f>
        <v>68</v>
      </c>
      <c r="E513" s="74">
        <f t="shared" si="188"/>
        <v>1.0137046828508265</v>
      </c>
      <c r="F513" s="74">
        <f t="shared" si="189"/>
        <v>1.1868238913561442</v>
      </c>
      <c r="G513" s="74">
        <f t="shared" si="190"/>
        <v>94.2922998743363</v>
      </c>
      <c r="H513" s="74">
        <f t="shared" si="191"/>
        <v>42.84956737955771</v>
      </c>
      <c r="I513" s="74">
        <f t="shared" si="203"/>
        <v>61.15946993579685</v>
      </c>
      <c r="J513" s="74">
        <f t="shared" si="199"/>
        <v>42.84956737955771</v>
      </c>
      <c r="K513" s="74">
        <f t="shared" si="204"/>
        <v>47.739057158962424</v>
      </c>
      <c r="L513" s="74">
        <f t="shared" si="192"/>
        <v>1.7748264949037118</v>
      </c>
      <c r="M513" s="74">
        <f t="shared" si="201"/>
        <v>3.2570847429771757</v>
      </c>
      <c r="N513" s="74">
        <f t="shared" si="193"/>
        <v>0.7807818706428962</v>
      </c>
      <c r="O513" s="74">
        <f t="shared" si="194"/>
        <v>70.62022429671495</v>
      </c>
      <c r="P513" s="74">
        <f t="shared" si="195"/>
        <v>0.2863104688577111</v>
      </c>
    </row>
    <row r="514" spans="2:16" ht="13.5">
      <c r="B514" s="74">
        <f t="shared" si="185"/>
        <v>43.54019998120373</v>
      </c>
      <c r="C514" s="70">
        <f t="shared" si="202"/>
        <v>58.081</v>
      </c>
      <c r="D514" s="70">
        <f t="shared" si="186"/>
        <v>69</v>
      </c>
      <c r="E514" s="74">
        <f t="shared" si="188"/>
        <v>1.0137046828508265</v>
      </c>
      <c r="F514" s="74">
        <f t="shared" si="189"/>
        <v>1.2042771838760873</v>
      </c>
      <c r="G514" s="74">
        <f t="shared" si="190"/>
        <v>94.2922998743363</v>
      </c>
      <c r="H514" s="74">
        <f t="shared" si="191"/>
        <v>41.08403968726031</v>
      </c>
      <c r="I514" s="74">
        <f t="shared" si="203"/>
        <v>58.107418303486085</v>
      </c>
      <c r="J514" s="74">
        <f t="shared" si="199"/>
        <v>41.08403968726031</v>
      </c>
      <c r="K514" s="74">
        <f t="shared" si="204"/>
        <v>46.54192708022782</v>
      </c>
      <c r="L514" s="74">
        <f t="shared" si="192"/>
        <v>1.792279787423655</v>
      </c>
      <c r="M514" s="74">
        <f t="shared" si="201"/>
        <v>3.2693886601519666</v>
      </c>
      <c r="N514" s="74">
        <f t="shared" si="193"/>
        <v>0.7282169610177962</v>
      </c>
      <c r="O514" s="74">
        <f t="shared" si="194"/>
        <v>69.18606261680098</v>
      </c>
      <c r="P514" s="74">
        <f t="shared" si="195"/>
        <v>0.283463972371292</v>
      </c>
    </row>
    <row r="515" spans="2:16" ht="13.5">
      <c r="B515" s="74">
        <f t="shared" si="185"/>
        <v>43.57249466258744</v>
      </c>
      <c r="C515" s="70">
        <f t="shared" si="202"/>
        <v>58.081</v>
      </c>
      <c r="D515" s="70">
        <f t="shared" si="186"/>
        <v>70</v>
      </c>
      <c r="E515" s="74">
        <f t="shared" si="188"/>
        <v>1.0137046828508265</v>
      </c>
      <c r="F515" s="74">
        <f t="shared" si="189"/>
        <v>1.2217304763960306</v>
      </c>
      <c r="G515" s="74">
        <f t="shared" si="190"/>
        <v>94.2922998743363</v>
      </c>
      <c r="H515" s="74">
        <f t="shared" si="191"/>
        <v>39.30457845389725</v>
      </c>
      <c r="I515" s="74">
        <f t="shared" si="203"/>
        <v>55.09599421204639</v>
      </c>
      <c r="J515" s="74">
        <f t="shared" si="199"/>
        <v>39.30457845389725</v>
      </c>
      <c r="K515" s="74">
        <f t="shared" si="204"/>
        <v>45.360732659555765</v>
      </c>
      <c r="L515" s="74">
        <f t="shared" si="192"/>
        <v>1.809733079943598</v>
      </c>
      <c r="M515" s="74">
        <f t="shared" si="201"/>
        <v>3.2827896493451227</v>
      </c>
      <c r="N515" s="74">
        <f t="shared" si="193"/>
        <v>0.6752372092296027</v>
      </c>
      <c r="O515" s="74">
        <f t="shared" si="194"/>
        <v>67.78676814233543</v>
      </c>
      <c r="P515" s="74">
        <f t="shared" si="195"/>
        <v>0.2819837827798329</v>
      </c>
    </row>
    <row r="516" spans="2:16" ht="13.5">
      <c r="B516" s="74">
        <f t="shared" si="185"/>
        <v>43.57533719709345</v>
      </c>
      <c r="C516" s="70">
        <f t="shared" si="202"/>
        <v>58.081</v>
      </c>
      <c r="D516" s="70">
        <f t="shared" si="186"/>
        <v>71</v>
      </c>
      <c r="E516" s="74">
        <f t="shared" si="188"/>
        <v>1.0137046828508265</v>
      </c>
      <c r="F516" s="74">
        <f t="shared" si="189"/>
        <v>1.239183768915974</v>
      </c>
      <c r="G516" s="74">
        <f t="shared" si="190"/>
        <v>94.2922998743363</v>
      </c>
      <c r="H516" s="74">
        <f t="shared" si="191"/>
        <v>37.50992049257642</v>
      </c>
      <c r="I516" s="74">
        <f t="shared" si="203"/>
        <v>52.12259246172309</v>
      </c>
      <c r="J516" s="74">
        <f t="shared" si="199"/>
        <v>37.50992049257642</v>
      </c>
      <c r="K516" s="74">
        <f t="shared" si="204"/>
        <v>44.19445203907388</v>
      </c>
      <c r="L516" s="74">
        <f t="shared" si="192"/>
        <v>1.8271863724635415</v>
      </c>
      <c r="M516" s="74">
        <f t="shared" si="201"/>
        <v>3.297309476365921</v>
      </c>
      <c r="N516" s="74">
        <f t="shared" si="193"/>
        <v>0.6218050065196917</v>
      </c>
      <c r="O516" s="74">
        <f t="shared" si="194"/>
        <v>66.41984222691637</v>
      </c>
      <c r="P516" s="74">
        <f t="shared" si="195"/>
        <v>0.2818535426791321</v>
      </c>
    </row>
    <row r="517" spans="2:16" ht="13.5">
      <c r="B517" s="74">
        <f t="shared" si="185"/>
        <v>43.54894411290269</v>
      </c>
      <c r="C517" s="70">
        <f t="shared" si="202"/>
        <v>58.081</v>
      </c>
      <c r="D517" s="70">
        <f t="shared" si="186"/>
        <v>72</v>
      </c>
      <c r="E517" s="74">
        <f t="shared" si="188"/>
        <v>1.0137046828508265</v>
      </c>
      <c r="F517" s="74">
        <f t="shared" si="189"/>
        <v>1.2566370614359172</v>
      </c>
      <c r="G517" s="74">
        <f t="shared" si="190"/>
        <v>94.2922998743363</v>
      </c>
      <c r="H517" s="74">
        <f t="shared" si="191"/>
        <v>35.698762256707205</v>
      </c>
      <c r="I517" s="74">
        <f t="shared" si="203"/>
        <v>49.18471901725621</v>
      </c>
      <c r="J517" s="74">
        <f t="shared" si="199"/>
        <v>35.698762256707205</v>
      </c>
      <c r="K517" s="74">
        <f t="shared" si="204"/>
        <v>43.042106963828815</v>
      </c>
      <c r="L517" s="74">
        <f t="shared" si="192"/>
        <v>1.8446396649834846</v>
      </c>
      <c r="M517" s="74">
        <f t="shared" si="201"/>
        <v>3.3129719635610875</v>
      </c>
      <c r="N517" s="74">
        <f t="shared" si="193"/>
        <v>0.5678815425034818</v>
      </c>
      <c r="O517" s="74">
        <f t="shared" si="194"/>
        <v>65.08287574809746</v>
      </c>
      <c r="P517" s="74">
        <f t="shared" si="195"/>
        <v>0.2830631041676478</v>
      </c>
    </row>
    <row r="518" spans="2:16" ht="13.5">
      <c r="B518" s="74">
        <f t="shared" si="185"/>
        <v>43.49344839185054</v>
      </c>
      <c r="C518" s="70">
        <f t="shared" si="202"/>
        <v>58.081</v>
      </c>
      <c r="D518" s="70">
        <f t="shared" si="186"/>
        <v>73</v>
      </c>
      <c r="E518" s="74">
        <f t="shared" si="188"/>
        <v>1.0137046828508265</v>
      </c>
      <c r="F518" s="74">
        <f t="shared" si="189"/>
        <v>1.2740903539558606</v>
      </c>
      <c r="G518" s="74">
        <f t="shared" si="190"/>
        <v>94.2922998743363</v>
      </c>
      <c r="H518" s="74">
        <f t="shared" si="191"/>
        <v>33.86975581055276</v>
      </c>
      <c r="I518" s="74">
        <f t="shared" si="203"/>
        <v>46.27998190580472</v>
      </c>
      <c r="J518" s="74">
        <f t="shared" si="199"/>
        <v>33.86975581055276</v>
      </c>
      <c r="K518" s="74">
        <f t="shared" si="204"/>
        <v>41.90275921160796</v>
      </c>
      <c r="L518" s="74">
        <f t="shared" si="192"/>
        <v>1.8620929575034282</v>
      </c>
      <c r="M518" s="74">
        <f t="shared" si="201"/>
        <v>3.3298030883232532</v>
      </c>
      <c r="N518" s="74">
        <f t="shared" si="193"/>
        <v>0.5134266852020202</v>
      </c>
      <c r="O518" s="74">
        <f t="shared" si="194"/>
        <v>63.77353808866167</v>
      </c>
      <c r="P518" s="74">
        <f t="shared" si="195"/>
        <v>0.2856084047047807</v>
      </c>
    </row>
    <row r="519" spans="2:16" ht="13.5">
      <c r="B519" s="74">
        <f t="shared" si="185"/>
        <v>43.40890053590515</v>
      </c>
      <c r="C519" s="70">
        <f t="shared" si="202"/>
        <v>58.081</v>
      </c>
      <c r="D519" s="70">
        <f t="shared" si="186"/>
        <v>74</v>
      </c>
      <c r="E519" s="74">
        <f t="shared" si="188"/>
        <v>1.0137046828508265</v>
      </c>
      <c r="F519" s="74">
        <f t="shared" si="189"/>
        <v>1.2915436464758039</v>
      </c>
      <c r="G519" s="74">
        <f t="shared" si="190"/>
        <v>94.2922998743363</v>
      </c>
      <c r="H519" s="74">
        <f t="shared" si="191"/>
        <v>32.02150453781869</v>
      </c>
      <c r="I519" s="74">
        <f t="shared" si="203"/>
        <v>43.40608276923955</v>
      </c>
      <c r="J519" s="74">
        <f t="shared" si="199"/>
        <v>32.02150453781869</v>
      </c>
      <c r="K519" s="74">
        <f t="shared" si="204"/>
        <v>40.77550727942922</v>
      </c>
      <c r="L519" s="74">
        <f t="shared" si="192"/>
        <v>1.8795462500233713</v>
      </c>
      <c r="M519" s="74">
        <f t="shared" si="201"/>
        <v>3.347831092152982</v>
      </c>
      <c r="N519" s="74">
        <f t="shared" si="193"/>
        <v>0.4583988532741495</v>
      </c>
      <c r="O519" s="74">
        <f t="shared" si="194"/>
        <v>62.48956664442495</v>
      </c>
      <c r="P519" s="74">
        <f t="shared" si="195"/>
        <v>0.2894913372451586</v>
      </c>
    </row>
    <row r="520" spans="2:16" ht="13.5">
      <c r="B520" s="74">
        <f t="shared" si="185"/>
        <v>43.295269113015934</v>
      </c>
      <c r="C520" s="70">
        <f t="shared" si="202"/>
        <v>58.081</v>
      </c>
      <c r="D520" s="70">
        <f t="shared" si="186"/>
        <v>75</v>
      </c>
      <c r="E520" s="74">
        <f t="shared" si="188"/>
        <v>1.0137046828508265</v>
      </c>
      <c r="F520" s="74">
        <f t="shared" si="189"/>
        <v>1.3089969389957472</v>
      </c>
      <c r="G520" s="74">
        <f t="shared" si="190"/>
        <v>94.2922998743363</v>
      </c>
      <c r="H520" s="74">
        <f t="shared" si="191"/>
        <v>30.152558557855457</v>
      </c>
      <c r="I520" s="74">
        <f t="shared" si="203"/>
        <v>40.560809004261195</v>
      </c>
      <c r="J520" s="74">
        <f aca="true" t="shared" si="205" ref="J520:J552">0.5*$J$18*N520*$D$3+$G$18</f>
        <v>30.152558557855457</v>
      </c>
      <c r="K520" s="74">
        <f t="shared" si="204"/>
        <v>39.65948330059791</v>
      </c>
      <c r="L520" s="74">
        <f t="shared" si="192"/>
        <v>1.8969995425433148</v>
      </c>
      <c r="M520" s="74">
        <f aca="true" t="shared" si="206" ref="M520:M551">J$18/SIN(L520)*SIN(J$19)</f>
        <v>3.3670866011551928</v>
      </c>
      <c r="N520" s="74">
        <f t="shared" si="193"/>
        <v>0.4027548795434824</v>
      </c>
      <c r="O520" s="74">
        <f t="shared" si="194"/>
        <v>61.22875676622009</v>
      </c>
      <c r="P520" s="74">
        <f t="shared" si="195"/>
        <v>0.29471961267164287</v>
      </c>
    </row>
    <row r="521" spans="2:16" ht="13.5">
      <c r="B521" s="74">
        <f t="shared" si="185"/>
        <v>43.15244078941502</v>
      </c>
      <c r="C521" s="70">
        <f t="shared" si="202"/>
        <v>58.081</v>
      </c>
      <c r="D521" s="70">
        <f t="shared" si="186"/>
        <v>76</v>
      </c>
      <c r="E521" s="74">
        <f t="shared" si="188"/>
        <v>1.0137046828508265</v>
      </c>
      <c r="F521" s="74">
        <f t="shared" si="189"/>
        <v>1.3264502315156903</v>
      </c>
      <c r="G521" s="74">
        <f t="shared" si="190"/>
        <v>94.2922998743363</v>
      </c>
      <c r="H521" s="74">
        <f t="shared" si="191"/>
        <v>28.2614098159386</v>
      </c>
      <c r="I521" s="74">
        <f t="shared" si="203"/>
        <v>37.7420264303865</v>
      </c>
      <c r="J521" s="74">
        <f t="shared" si="205"/>
        <v>28.2614098159386</v>
      </c>
      <c r="K521" s="74">
        <f t="shared" si="204"/>
        <v>38.55385016881386</v>
      </c>
      <c r="L521" s="74">
        <f t="shared" si="192"/>
        <v>1.914452835063258</v>
      </c>
      <c r="M521" s="74">
        <f t="shared" si="206"/>
        <v>3.3876027589624966</v>
      </c>
      <c r="N521" s="74">
        <f t="shared" si="193"/>
        <v>0.34644986482172163</v>
      </c>
      <c r="O521" s="74">
        <f t="shared" si="194"/>
        <v>59.988952048947795</v>
      </c>
      <c r="P521" s="74">
        <f t="shared" si="195"/>
        <v>0.3013066093968312</v>
      </c>
    </row>
    <row r="522" spans="2:16" ht="13.5">
      <c r="B522" s="74">
        <f t="shared" si="185"/>
        <v>42.980219849706494</v>
      </c>
      <c r="C522" s="70">
        <f t="shared" si="202"/>
        <v>58.081</v>
      </c>
      <c r="D522" s="70">
        <f t="shared" si="186"/>
        <v>77</v>
      </c>
      <c r="E522" s="74">
        <f t="shared" si="188"/>
        <v>1.0137046828508265</v>
      </c>
      <c r="F522" s="74">
        <f t="shared" si="189"/>
        <v>1.3439035240356338</v>
      </c>
      <c r="G522" s="74">
        <f t="shared" si="190"/>
        <v>94.2922998743363</v>
      </c>
      <c r="H522" s="74">
        <f t="shared" si="191"/>
        <v>26.34648681054474</v>
      </c>
      <c r="I522" s="74">
        <f t="shared" si="203"/>
        <v>34.9476724316321</v>
      </c>
      <c r="J522" s="74">
        <f t="shared" si="205"/>
        <v>26.34648681054474</v>
      </c>
      <c r="K522" s="74">
        <f t="shared" si="204"/>
        <v>37.4577988480803</v>
      </c>
      <c r="L522" s="74">
        <f t="shared" si="192"/>
        <v>1.9319061275832015</v>
      </c>
      <c r="M522" s="74">
        <f t="shared" si="206"/>
        <v>3.409415373203253</v>
      </c>
      <c r="N522" s="74">
        <f t="shared" si="193"/>
        <v>0.2894370209242849</v>
      </c>
      <c r="O522" s="74">
        <f t="shared" si="194"/>
        <v>58.768034884558624</v>
      </c>
      <c r="P522" s="74">
        <f t="shared" si="195"/>
        <v>0.3092712018313652</v>
      </c>
    </row>
    <row r="523" spans="2:16" ht="13.5">
      <c r="B523" s="74">
        <f t="shared" si="185"/>
        <v>42.77832720036377</v>
      </c>
      <c r="C523" s="70">
        <f t="shared" si="202"/>
        <v>58.081</v>
      </c>
      <c r="D523" s="70">
        <f t="shared" si="186"/>
        <v>78</v>
      </c>
      <c r="E523" s="74">
        <f t="shared" si="188"/>
        <v>1.0137046828508265</v>
      </c>
      <c r="F523" s="74">
        <f t="shared" si="189"/>
        <v>1.361356816555577</v>
      </c>
      <c r="G523" s="74">
        <f t="shared" si="190"/>
        <v>94.2922998743363</v>
      </c>
      <c r="H523" s="74">
        <f t="shared" si="191"/>
        <v>24.40614891650218</v>
      </c>
      <c r="I523" s="74">
        <f t="shared" si="203"/>
        <v>32.17574952279962</v>
      </c>
      <c r="J523" s="74">
        <f t="shared" si="205"/>
        <v>24.40614891650218</v>
      </c>
      <c r="K523" s="74">
        <f t="shared" si="204"/>
        <v>36.370545849157565</v>
      </c>
      <c r="L523" s="74">
        <f t="shared" si="192"/>
        <v>1.9493594201031446</v>
      </c>
      <c r="M523" s="74">
        <f t="shared" si="206"/>
        <v>3.4325630767730444</v>
      </c>
      <c r="N523" s="74">
        <f t="shared" si="193"/>
        <v>0.23166750165393885</v>
      </c>
      <c r="O523" s="74">
        <f t="shared" si="194"/>
        <v>57.563917198620196</v>
      </c>
      <c r="P523" s="74">
        <f t="shared" si="195"/>
        <v>0.3186375561002248</v>
      </c>
    </row>
    <row r="524" spans="2:16" ht="13.5">
      <c r="B524" s="74">
        <f t="shared" si="185"/>
        <v>42.54639884647162</v>
      </c>
      <c r="C524" s="70">
        <f t="shared" si="202"/>
        <v>58.081</v>
      </c>
      <c r="D524" s="70">
        <f t="shared" si="186"/>
        <v>79</v>
      </c>
      <c r="E524" s="74">
        <f t="shared" si="188"/>
        <v>1.0137046828508265</v>
      </c>
      <c r="F524" s="74">
        <f t="shared" si="189"/>
        <v>1.3788101090755203</v>
      </c>
      <c r="G524" s="74">
        <f t="shared" si="190"/>
        <v>94.2922998743363</v>
      </c>
      <c r="H524" s="74">
        <f t="shared" si="191"/>
        <v>22.438680258289008</v>
      </c>
      <c r="I524" s="74">
        <f t="shared" si="203"/>
        <v>29.424319295722153</v>
      </c>
      <c r="J524" s="74">
        <f t="shared" si="205"/>
        <v>22.438680258289008</v>
      </c>
      <c r="K524" s="74">
        <f t="shared" si="204"/>
        <v>35.29133085505204</v>
      </c>
      <c r="L524" s="74">
        <f t="shared" si="192"/>
        <v>1.9668127126230877</v>
      </c>
      <c r="M524" s="74">
        <f t="shared" si="206"/>
        <v>3.4570875053272205</v>
      </c>
      <c r="N524" s="74">
        <f t="shared" si="193"/>
        <v>0.17309022039101127</v>
      </c>
      <c r="O524" s="74">
        <f t="shared" si="194"/>
        <v>56.374531291775774</v>
      </c>
      <c r="P524" s="74">
        <f t="shared" si="195"/>
        <v>0.32943487782640857</v>
      </c>
    </row>
    <row r="525" spans="2:16" ht="13.5">
      <c r="B525" s="74">
        <f t="shared" si="185"/>
        <v>42.28398382559571</v>
      </c>
      <c r="C525" s="70">
        <f t="shared" si="202"/>
        <v>58.081</v>
      </c>
      <c r="D525" s="70">
        <f t="shared" si="186"/>
        <v>80</v>
      </c>
      <c r="E525" s="74">
        <f t="shared" si="188"/>
        <v>1.0137046828508265</v>
      </c>
      <c r="F525" s="74">
        <f t="shared" si="189"/>
        <v>1.3962634015954636</v>
      </c>
      <c r="G525" s="74">
        <f t="shared" si="190"/>
        <v>94.2922998743363</v>
      </c>
      <c r="H525" s="74">
        <f t="shared" si="191"/>
        <v>20.442283082501756</v>
      </c>
      <c r="I525" s="74">
        <f t="shared" si="203"/>
        <v>26.691496704743898</v>
      </c>
      <c r="J525" s="74">
        <f t="shared" si="205"/>
        <v>20.442283082501756</v>
      </c>
      <c r="K525" s="74">
        <f t="shared" si="204"/>
        <v>34.21941447956511</v>
      </c>
      <c r="L525" s="74">
        <f t="shared" si="192"/>
        <v>1.9842660051430312</v>
      </c>
      <c r="M525" s="74">
        <f t="shared" si="206"/>
        <v>3.483033492591896</v>
      </c>
      <c r="N525" s="74">
        <f t="shared" si="193"/>
        <v>0.1136516527724497</v>
      </c>
      <c r="O525" s="74">
        <f t="shared" si="194"/>
        <v>55.197820707940814</v>
      </c>
      <c r="P525" s="74">
        <f t="shared" si="195"/>
        <v>0.3416970929337077</v>
      </c>
    </row>
    <row r="526" spans="2:16" ht="13.5">
      <c r="B526" s="74">
        <f t="shared" si="185"/>
        <v>41.99054157643136</v>
      </c>
      <c r="C526" s="70">
        <f t="shared" si="202"/>
        <v>58.081</v>
      </c>
      <c r="D526" s="70">
        <f t="shared" si="186"/>
        <v>81</v>
      </c>
      <c r="E526" s="74">
        <f t="shared" si="188"/>
        <v>1.0137046828508265</v>
      </c>
      <c r="F526" s="74">
        <f t="shared" si="189"/>
        <v>1.413716694115407</v>
      </c>
      <c r="G526" s="74">
        <f t="shared" si="190"/>
        <v>94.2922998743363</v>
      </c>
      <c r="H526" s="74">
        <f t="shared" si="191"/>
        <v>18.415070572518374</v>
      </c>
      <c r="I526" s="74">
        <f t="shared" si="203"/>
        <v>23.97544465412669</v>
      </c>
      <c r="J526" s="74">
        <f t="shared" si="205"/>
        <v>18.415070572518374</v>
      </c>
      <c r="K526" s="74">
        <f t="shared" si="204"/>
        <v>33.15407614426935</v>
      </c>
      <c r="L526" s="74">
        <f t="shared" si="192"/>
        <v>2.0017192976629743</v>
      </c>
      <c r="M526" s="74">
        <f t="shared" si="206"/>
        <v>3.510449285294637</v>
      </c>
      <c r="N526" s="74">
        <f t="shared" si="193"/>
        <v>0.053295622763378</v>
      </c>
      <c r="O526" s="74">
        <f t="shared" si="194"/>
        <v>54.031731050507815</v>
      </c>
      <c r="P526" s="74">
        <f t="shared" si="195"/>
        <v>0.355462438239222</v>
      </c>
    </row>
    <row r="527" spans="2:16" ht="13.5">
      <c r="B527" s="74">
        <f t="shared" si="185"/>
        <v>43.51785709425893</v>
      </c>
      <c r="C527" s="70">
        <f t="shared" si="202"/>
        <v>58.081</v>
      </c>
      <c r="D527" s="70">
        <f>D496</f>
        <v>82</v>
      </c>
      <c r="E527" s="74">
        <f t="shared" si="188"/>
        <v>1.0137046828508265</v>
      </c>
      <c r="F527" s="74">
        <f t="shared" si="189"/>
        <v>1.43116998663535</v>
      </c>
      <c r="G527" s="74">
        <f t="shared" si="190"/>
        <v>94.2922998743363</v>
      </c>
      <c r="H527" s="74">
        <f t="shared" si="191"/>
        <v>21.274368853074545</v>
      </c>
      <c r="I527" s="74">
        <f t="shared" si="203"/>
        <v>21.274368853074545</v>
      </c>
      <c r="J527" s="74">
        <f t="shared" si="205"/>
        <v>16.355059041525283</v>
      </c>
      <c r="K527" s="74">
        <f t="shared" si="204"/>
        <v>32.09461206045451</v>
      </c>
      <c r="L527" s="74">
        <f t="shared" si="192"/>
        <v>2.0191725901829174</v>
      </c>
      <c r="M527" s="74">
        <f t="shared" si="206"/>
        <v>3.539386779747792</v>
      </c>
      <c r="N527" s="74">
        <f t="shared" si="193"/>
        <v>-0.008036929779261789</v>
      </c>
      <c r="O527" s="74">
        <f t="shared" si="194"/>
        <v>55.224953333540036</v>
      </c>
      <c r="P527" s="74">
        <f t="shared" si="195"/>
        <v>0.2844885711869109</v>
      </c>
    </row>
    <row r="528" spans="2:16" ht="13.5">
      <c r="B528" s="74">
        <f t="shared" si="185"/>
        <v>42.95427150164451</v>
      </c>
      <c r="C528" s="70">
        <f t="shared" si="202"/>
        <v>58.081</v>
      </c>
      <c r="D528" s="70">
        <f t="shared" si="186"/>
        <v>83</v>
      </c>
      <c r="E528" s="74">
        <f t="shared" si="188"/>
        <v>1.0137046828508265</v>
      </c>
      <c r="F528" s="74">
        <f t="shared" si="189"/>
        <v>1.4486232791552935</v>
      </c>
      <c r="G528" s="74">
        <f t="shared" si="190"/>
        <v>94.2922998743363</v>
      </c>
      <c r="H528" s="74">
        <f t="shared" si="191"/>
        <v>18.586512906677186</v>
      </c>
      <c r="I528" s="74">
        <f t="shared" si="203"/>
        <v>18.586512906677186</v>
      </c>
      <c r="J528" s="74">
        <f t="shared" si="205"/>
        <v>14.26015943222883</v>
      </c>
      <c r="K528" s="74">
        <f t="shared" si="204"/>
        <v>31.040333303609955</v>
      </c>
      <c r="L528" s="74">
        <f t="shared" si="192"/>
        <v>2.036625882702861</v>
      </c>
      <c r="M528" s="74">
        <f t="shared" si="206"/>
        <v>3.569901782381449</v>
      </c>
      <c r="N528" s="74">
        <f t="shared" si="193"/>
        <v>-0.0704082021850964</v>
      </c>
      <c r="O528" s="74">
        <f t="shared" si="194"/>
        <v>53.78457501733286</v>
      </c>
      <c r="P528" s="74">
        <f t="shared" si="195"/>
        <v>0.31047325759114147</v>
      </c>
    </row>
    <row r="529" spans="2:16" ht="13.5">
      <c r="B529" s="74">
        <f t="shared" si="185"/>
        <v>42.37135193911455</v>
      </c>
      <c r="C529" s="70">
        <f t="shared" si="202"/>
        <v>58.081</v>
      </c>
      <c r="D529" s="70">
        <f t="shared" si="186"/>
        <v>84</v>
      </c>
      <c r="E529" s="74">
        <f t="shared" si="188"/>
        <v>1.0137046828508265</v>
      </c>
      <c r="F529" s="74">
        <f t="shared" si="189"/>
        <v>1.4660765716752369</v>
      </c>
      <c r="G529" s="74">
        <f t="shared" si="190"/>
        <v>94.2922998743363</v>
      </c>
      <c r="H529" s="74">
        <f t="shared" si="191"/>
        <v>15.910153613341771</v>
      </c>
      <c r="I529" s="74">
        <f t="shared" si="203"/>
        <v>15.910153613341771</v>
      </c>
      <c r="J529" s="74">
        <f t="shared" si="205"/>
        <v>12.128168042573405</v>
      </c>
      <c r="K529" s="74">
        <f t="shared" si="204"/>
        <v>29.990563968899536</v>
      </c>
      <c r="L529" s="74">
        <f t="shared" si="192"/>
        <v>2.0540791752228045</v>
      </c>
      <c r="M529" s="74">
        <f t="shared" si="206"/>
        <v>3.602054296824678</v>
      </c>
      <c r="N529" s="74">
        <f t="shared" si="193"/>
        <v>-0.1338838050927462</v>
      </c>
      <c r="O529" s="74">
        <f t="shared" si="194"/>
        <v>52.37387129531311</v>
      </c>
      <c r="P529" s="74">
        <f t="shared" si="195"/>
        <v>0.33760934594308323</v>
      </c>
    </row>
    <row r="530" spans="2:16" ht="13.5">
      <c r="B530" s="74">
        <f t="shared" si="185"/>
        <v>41.76902686930443</v>
      </c>
      <c r="C530" s="70">
        <f t="shared" si="202"/>
        <v>58.081</v>
      </c>
      <c r="D530" s="70">
        <f t="shared" si="186"/>
        <v>85</v>
      </c>
      <c r="E530" s="74">
        <f t="shared" si="188"/>
        <v>1.0137046828508265</v>
      </c>
      <c r="F530" s="74">
        <f t="shared" si="189"/>
        <v>1.4835298641951802</v>
      </c>
      <c r="G530" s="74">
        <f t="shared" si="190"/>
        <v>94.2922998743363</v>
      </c>
      <c r="H530" s="74">
        <f t="shared" si="191"/>
        <v>13.24359644123674</v>
      </c>
      <c r="I530" s="74">
        <f t="shared" si="203"/>
        <v>13.24359644123674</v>
      </c>
      <c r="J530" s="74">
        <f t="shared" si="205"/>
        <v>9.956756386451493</v>
      </c>
      <c r="K530" s="74">
        <f t="shared" si="204"/>
        <v>28.944639396851734</v>
      </c>
      <c r="L530" s="74">
        <f t="shared" si="192"/>
        <v>2.0715324677427476</v>
      </c>
      <c r="M530" s="74">
        <f t="shared" si="206"/>
        <v>3.6359088404790922</v>
      </c>
      <c r="N530" s="74">
        <f t="shared" si="193"/>
        <v>-0.1985330643260647</v>
      </c>
      <c r="O530" s="74">
        <f t="shared" si="194"/>
        <v>50.99056659934133</v>
      </c>
      <c r="P530" s="74">
        <f t="shared" si="195"/>
        <v>0.36588806810307584</v>
      </c>
    </row>
    <row r="531" spans="2:16" ht="13.5">
      <c r="B531" s="74">
        <f t="shared" si="185"/>
        <v>41.147173964653796</v>
      </c>
      <c r="C531" s="70">
        <f>C530</f>
        <v>58.081</v>
      </c>
      <c r="D531" s="70">
        <f t="shared" si="186"/>
        <v>86</v>
      </c>
      <c r="E531" s="74">
        <f t="shared" si="188"/>
        <v>1.0137046828508265</v>
      </c>
      <c r="F531" s="74">
        <f t="shared" si="189"/>
        <v>1.5009831567151233</v>
      </c>
      <c r="G531" s="74">
        <f t="shared" si="190"/>
        <v>94.2922998743363</v>
      </c>
      <c r="H531" s="74">
        <f t="shared" si="191"/>
        <v>10.585171157948913</v>
      </c>
      <c r="I531" s="74">
        <f t="shared" si="203"/>
        <v>10.585171157948913</v>
      </c>
      <c r="J531" s="74">
        <f t="shared" si="205"/>
        <v>7.743460086500027</v>
      </c>
      <c r="K531" s="74">
        <f t="shared" si="204"/>
        <v>27.90190445914594</v>
      </c>
      <c r="L531" s="74">
        <f t="shared" si="192"/>
        <v>2.0889857602626907</v>
      </c>
      <c r="M531" s="74">
        <f t="shared" si="206"/>
        <v>3.6715347939252476</v>
      </c>
      <c r="N531" s="74">
        <f t="shared" si="193"/>
        <v>-0.26442935158799213</v>
      </c>
      <c r="O531" s="74">
        <f t="shared" si="194"/>
        <v>49.63245976637801</v>
      </c>
      <c r="P531" s="74">
        <f t="shared" si="195"/>
        <v>0.3952940565678343</v>
      </c>
    </row>
    <row r="532" spans="2:16" ht="13.5">
      <c r="B532" s="74">
        <f t="shared" si="185"/>
        <v>40.50562074528879</v>
      </c>
      <c r="C532" s="70">
        <f>C531</f>
        <v>58.081</v>
      </c>
      <c r="D532" s="70">
        <f t="shared" si="186"/>
        <v>87</v>
      </c>
      <c r="E532" s="74">
        <f t="shared" si="188"/>
        <v>1.0137046828508265</v>
      </c>
      <c r="F532" s="74">
        <f t="shared" si="189"/>
        <v>1.5184364492350666</v>
      </c>
      <c r="G532" s="74">
        <f t="shared" si="190"/>
        <v>94.2922998743363</v>
      </c>
      <c r="H532" s="74">
        <f t="shared" si="191"/>
        <v>7.933227588970383</v>
      </c>
      <c r="I532" s="74">
        <f t="shared" si="203"/>
        <v>7.933227588970383</v>
      </c>
      <c r="J532" s="74">
        <f t="shared" si="205"/>
        <v>5.4856666823648865</v>
      </c>
      <c r="K532" s="74">
        <f t="shared" si="204"/>
        <v>26.861711894930572</v>
      </c>
      <c r="L532" s="74">
        <f t="shared" si="192"/>
        <v>2.106439052782634</v>
      </c>
      <c r="M532" s="74">
        <f t="shared" si="206"/>
        <v>3.7090067869585464</v>
      </c>
      <c r="N532" s="74">
        <f t="shared" si="193"/>
        <v>-0.3316504474440855</v>
      </c>
      <c r="O532" s="74">
        <f t="shared" si="194"/>
        <v>48.29741533021661</v>
      </c>
      <c r="P532" s="74">
        <f t="shared" si="195"/>
        <v>0.4258043501938569</v>
      </c>
    </row>
    <row r="533" spans="2:16" ht="13.5">
      <c r="B533" s="74">
        <f t="shared" si="185"/>
        <v>39.84414493860474</v>
      </c>
      <c r="C533" s="70">
        <f>C532</f>
        <v>58.081</v>
      </c>
      <c r="D533" s="70">
        <f t="shared" si="186"/>
        <v>88</v>
      </c>
      <c r="E533" s="74">
        <f t="shared" si="188"/>
        <v>1.0137046828508265</v>
      </c>
      <c r="F533" s="74">
        <f t="shared" si="189"/>
        <v>1.53588974175501</v>
      </c>
      <c r="G533" s="74">
        <f t="shared" si="190"/>
        <v>94.2922998743363</v>
      </c>
      <c r="H533" s="74">
        <f t="shared" si="191"/>
        <v>5.286131481813329</v>
      </c>
      <c r="I533" s="74">
        <f t="shared" si="203"/>
        <v>5.286131481813329</v>
      </c>
      <c r="J533" s="74">
        <f t="shared" si="205"/>
        <v>3.180602221976846</v>
      </c>
      <c r="K533" s="74">
        <f t="shared" si="204"/>
        <v>25.823420688572526</v>
      </c>
      <c r="L533" s="74">
        <f t="shared" si="192"/>
        <v>2.1238923453025773</v>
      </c>
      <c r="M533" s="74">
        <f t="shared" si="206"/>
        <v>3.7484051255774977</v>
      </c>
      <c r="N533" s="74">
        <f t="shared" si="193"/>
        <v>-0.4002789405393484</v>
      </c>
      <c r="O533" s="74">
        <f t="shared" si="194"/>
        <v>46.983355212031896</v>
      </c>
      <c r="P533" s="74">
        <f t="shared" si="195"/>
        <v>0.457387462076499</v>
      </c>
    </row>
    <row r="534" spans="2:16" ht="13.5">
      <c r="B534" s="74">
        <f t="shared" si="185"/>
        <v>39.16247456812196</v>
      </c>
      <c r="C534" s="70">
        <f>C533</f>
        <v>58.081</v>
      </c>
      <c r="D534" s="70">
        <f t="shared" si="186"/>
        <v>89</v>
      </c>
      <c r="E534" s="74">
        <f t="shared" si="188"/>
        <v>1.0137046828508265</v>
      </c>
      <c r="F534" s="74">
        <f t="shared" si="189"/>
        <v>1.5533430342749535</v>
      </c>
      <c r="G534" s="74">
        <f t="shared" si="190"/>
        <v>94.2922998743363</v>
      </c>
      <c r="H534" s="74">
        <f t="shared" si="191"/>
        <v>2.642260453508916</v>
      </c>
      <c r="I534" s="74">
        <f t="shared" si="203"/>
        <v>2.642260453508916</v>
      </c>
      <c r="J534" s="74">
        <f t="shared" si="205"/>
        <v>0.8253164850416557</v>
      </c>
      <c r="K534" s="74">
        <f t="shared" si="204"/>
        <v>24.78639448011291</v>
      </c>
      <c r="L534" s="74">
        <f t="shared" si="192"/>
        <v>2.141345637822521</v>
      </c>
      <c r="M534" s="74">
        <f t="shared" si="206"/>
        <v>3.7898162648555984</v>
      </c>
      <c r="N534" s="74">
        <f t="shared" si="193"/>
        <v>-0.47040266753803595</v>
      </c>
      <c r="O534" s="74">
        <f t="shared" si="194"/>
        <v>45.688250748767096</v>
      </c>
      <c r="P534" s="74">
        <f t="shared" si="195"/>
        <v>0.49000255505630796</v>
      </c>
    </row>
    <row r="535" spans="2:16" ht="13.5">
      <c r="B535" s="74">
        <f aca="true" t="shared" si="207" ref="B535:B545">O535*SIN(F535-F$4)</f>
        <v>38.460287776632065</v>
      </c>
      <c r="C535" s="70">
        <f>C534</f>
        <v>58.081</v>
      </c>
      <c r="D535" s="70">
        <f t="shared" si="186"/>
        <v>90</v>
      </c>
      <c r="E535" s="74">
        <f t="shared" si="188"/>
        <v>1.0137046828508265</v>
      </c>
      <c r="F535" s="74">
        <f t="shared" si="189"/>
        <v>1.5707963267948966</v>
      </c>
      <c r="G535" s="74">
        <f t="shared" si="190"/>
        <v>94.2922998743363</v>
      </c>
      <c r="H535" s="74">
        <f t="shared" si="191"/>
        <v>9.272842368089618E-15</v>
      </c>
      <c r="I535" s="74">
        <f t="shared" si="203"/>
        <v>9.272842368089618E-15</v>
      </c>
      <c r="J535" s="74">
        <f t="shared" si="205"/>
        <v>-1.5833333333333073</v>
      </c>
      <c r="K535" s="74">
        <f t="shared" si="204"/>
        <v>23.750000000000007</v>
      </c>
      <c r="L535" s="74">
        <f t="shared" si="192"/>
        <v>2.158798930342464</v>
      </c>
      <c r="M535" s="74">
        <f t="shared" si="206"/>
        <v>3.8333333333333317</v>
      </c>
      <c r="N535" s="74">
        <f t="shared" si="193"/>
        <v>-0.5421151989096857</v>
      </c>
      <c r="O535" s="74">
        <f t="shared" si="194"/>
        <v>44.410115001897985</v>
      </c>
      <c r="P535" s="74">
        <f t="shared" si="195"/>
        <v>0.5235987755982985</v>
      </c>
    </row>
    <row r="536" spans="2:16" ht="13.5">
      <c r="B536" s="74">
        <f t="shared" si="207"/>
        <v>41.72622889540599</v>
      </c>
      <c r="C536" s="70">
        <f>C535+J407</f>
        <v>59.041000000000004</v>
      </c>
      <c r="D536" s="70">
        <f t="shared" si="186"/>
        <v>60</v>
      </c>
      <c r="E536" s="74">
        <f t="shared" si="188"/>
        <v>1.0304598436699721</v>
      </c>
      <c r="F536" s="74">
        <f t="shared" si="189"/>
        <v>1.0471975511965976</v>
      </c>
      <c r="G536" s="74">
        <f t="shared" si="190"/>
        <v>90.80791011143604</v>
      </c>
      <c r="H536" s="74">
        <f t="shared" si="191"/>
        <v>56.61327536344993</v>
      </c>
      <c r="I536" s="74">
        <f t="shared" si="203"/>
        <v>87.39639699857963</v>
      </c>
      <c r="J536" s="74">
        <f t="shared" si="205"/>
        <v>56.61327536344993</v>
      </c>
      <c r="K536" s="74">
        <f t="shared" si="204"/>
        <v>58.03017223313404</v>
      </c>
      <c r="L536" s="74">
        <f t="shared" si="192"/>
        <v>1.6352001547441652</v>
      </c>
      <c r="M536" s="74">
        <f t="shared" si="206"/>
        <v>3.196152422706631</v>
      </c>
      <c r="N536" s="74">
        <f t="shared" si="193"/>
        <v>1.1905676074715958</v>
      </c>
      <c r="O536" s="74">
        <f t="shared" si="194"/>
        <v>83.45245779081199</v>
      </c>
      <c r="P536" s="74">
        <f t="shared" si="195"/>
        <v>0.3590088567606883</v>
      </c>
    </row>
    <row r="537" spans="2:16" ht="13.5">
      <c r="B537" s="74">
        <f t="shared" si="207"/>
        <v>42.052893038339526</v>
      </c>
      <c r="C537" s="70">
        <f>C536</f>
        <v>59.041000000000004</v>
      </c>
      <c r="D537" s="70">
        <f t="shared" si="186"/>
        <v>61</v>
      </c>
      <c r="E537" s="74">
        <f t="shared" si="188"/>
        <v>1.0304598436699721</v>
      </c>
      <c r="F537" s="74">
        <f t="shared" si="189"/>
        <v>1.064650843716541</v>
      </c>
      <c r="G537" s="74">
        <f t="shared" si="190"/>
        <v>90.80791011143604</v>
      </c>
      <c r="H537" s="74">
        <f t="shared" si="191"/>
        <v>54.91741842603781</v>
      </c>
      <c r="I537" s="74">
        <f t="shared" si="203"/>
        <v>83.90853266366291</v>
      </c>
      <c r="J537" s="74">
        <f t="shared" si="205"/>
        <v>54.91741842603781</v>
      </c>
      <c r="K537" s="74">
        <f t="shared" si="204"/>
        <v>56.662099930008154</v>
      </c>
      <c r="L537" s="74">
        <f t="shared" si="192"/>
        <v>1.6526534472641083</v>
      </c>
      <c r="M537" s="74">
        <f t="shared" si="206"/>
        <v>3.200241894286732</v>
      </c>
      <c r="N537" s="74">
        <f t="shared" si="193"/>
        <v>1.1400769994561701</v>
      </c>
      <c r="O537" s="74">
        <f t="shared" si="194"/>
        <v>81.65006644544408</v>
      </c>
      <c r="P537" s="74">
        <f t="shared" si="195"/>
        <v>0.34410875260831497</v>
      </c>
    </row>
    <row r="538" spans="2:16" ht="13.5">
      <c r="B538" s="74">
        <f t="shared" si="207"/>
        <v>42.34346936469616</v>
      </c>
      <c r="C538" s="70">
        <f aca="true" t="shared" si="208" ref="C538:C566">C537</f>
        <v>59.041000000000004</v>
      </c>
      <c r="D538" s="70">
        <f t="shared" si="186"/>
        <v>62</v>
      </c>
      <c r="E538" s="74">
        <f t="shared" si="188"/>
        <v>1.0304598436699721</v>
      </c>
      <c r="F538" s="74">
        <f t="shared" si="189"/>
        <v>1.0821041362364843</v>
      </c>
      <c r="G538" s="74">
        <f t="shared" si="190"/>
        <v>90.80791011143604</v>
      </c>
      <c r="H538" s="74">
        <f t="shared" si="191"/>
        <v>53.21669751699319</v>
      </c>
      <c r="I538" s="74">
        <f t="shared" si="203"/>
        <v>80.48751521775635</v>
      </c>
      <c r="J538" s="74">
        <f t="shared" si="205"/>
        <v>53.21669751699319</v>
      </c>
      <c r="K538" s="74">
        <f t="shared" si="204"/>
        <v>55.3202475049003</v>
      </c>
      <c r="L538" s="74">
        <f t="shared" si="192"/>
        <v>1.6701067397840519</v>
      </c>
      <c r="M538" s="74">
        <f t="shared" si="206"/>
        <v>3.205319466443784</v>
      </c>
      <c r="N538" s="74">
        <f t="shared" si="193"/>
        <v>1.0894415768165406</v>
      </c>
      <c r="O538" s="74">
        <f t="shared" si="194"/>
        <v>79.90551056106125</v>
      </c>
      <c r="P538" s="74">
        <f t="shared" si="195"/>
        <v>0.330915504592889</v>
      </c>
    </row>
    <row r="539" spans="2:16" ht="13.5">
      <c r="B539" s="74">
        <f t="shared" si="207"/>
        <v>42.599044609117854</v>
      </c>
      <c r="C539" s="70">
        <f t="shared" si="208"/>
        <v>59.041000000000004</v>
      </c>
      <c r="D539" s="70">
        <f>D508</f>
        <v>63</v>
      </c>
      <c r="E539" s="74">
        <f t="shared" si="188"/>
        <v>1.0304598436699721</v>
      </c>
      <c r="F539" s="74">
        <f t="shared" si="189"/>
        <v>1.0995574287564276</v>
      </c>
      <c r="G539" s="74">
        <f t="shared" si="190"/>
        <v>90.80791011143604</v>
      </c>
      <c r="H539" s="74">
        <f t="shared" si="191"/>
        <v>51.51005054407396</v>
      </c>
      <c r="I539" s="74">
        <f t="shared" si="203"/>
        <v>77.12941491721917</v>
      </c>
      <c r="J539" s="74">
        <f t="shared" si="205"/>
        <v>51.51005054407396</v>
      </c>
      <c r="K539" s="74">
        <f t="shared" si="204"/>
        <v>54.00307356373172</v>
      </c>
      <c r="L539" s="74">
        <f t="shared" si="192"/>
        <v>1.687560032303995</v>
      </c>
      <c r="M539" s="74">
        <f t="shared" si="206"/>
        <v>3.2113929525108333</v>
      </c>
      <c r="N539" s="74">
        <f t="shared" si="193"/>
        <v>1.0386297179684278</v>
      </c>
      <c r="O539" s="74">
        <f t="shared" si="194"/>
        <v>78.21518817126743</v>
      </c>
      <c r="P539" s="74">
        <f t="shared" si="195"/>
        <v>0.31936221550181765</v>
      </c>
    </row>
    <row r="540" spans="2:16" ht="13.5">
      <c r="B540" s="74">
        <f t="shared" si="207"/>
        <v>42.82058581920674</v>
      </c>
      <c r="C540" s="70">
        <f t="shared" si="208"/>
        <v>59.041000000000004</v>
      </c>
      <c r="D540" s="70">
        <f>D509</f>
        <v>64</v>
      </c>
      <c r="E540" s="74">
        <f t="shared" si="188"/>
        <v>1.0304598436699721</v>
      </c>
      <c r="F540" s="74">
        <f t="shared" si="189"/>
        <v>1.117010721276371</v>
      </c>
      <c r="G540" s="74">
        <f t="shared" si="190"/>
        <v>90.80791011143604</v>
      </c>
      <c r="H540" s="74">
        <f t="shared" si="191"/>
        <v>49.7964007486329</v>
      </c>
      <c r="I540" s="74">
        <f t="shared" si="203"/>
        <v>73.83052059415728</v>
      </c>
      <c r="J540" s="74">
        <f t="shared" si="205"/>
        <v>49.7964007486329</v>
      </c>
      <c r="K540" s="74">
        <f t="shared" si="204"/>
        <v>52.70912244609802</v>
      </c>
      <c r="L540" s="74">
        <f t="shared" si="192"/>
        <v>1.7050133248239385</v>
      </c>
      <c r="M540" s="74">
        <f t="shared" si="206"/>
        <v>3.21847173736185</v>
      </c>
      <c r="N540" s="74">
        <f t="shared" si="193"/>
        <v>0.9876093646658881</v>
      </c>
      <c r="O540" s="74">
        <f t="shared" si="194"/>
        <v>76.57569606737117</v>
      </c>
      <c r="P540" s="74">
        <f t="shared" si="195"/>
        <v>0.30938813906680035</v>
      </c>
    </row>
    <row r="541" spans="2:16" ht="13.5">
      <c r="B541" s="74">
        <f t="shared" si="207"/>
        <v>43.00894718977329</v>
      </c>
      <c r="C541" s="70">
        <f t="shared" si="208"/>
        <v>59.041000000000004</v>
      </c>
      <c r="D541" s="70">
        <f>D510</f>
        <v>65</v>
      </c>
      <c r="E541" s="74">
        <f aca="true" t="shared" si="209" ref="E541:E597">C541*PI()/180</f>
        <v>1.0304598436699721</v>
      </c>
      <c r="F541" s="74">
        <f aca="true" t="shared" si="210" ref="F541:F597">D541*PI()/180</f>
        <v>1.1344640137963142</v>
      </c>
      <c r="G541" s="74">
        <f aca="true" t="shared" si="211" ref="G541:G597">(0.5*$D$3*$D$9+$D$5)*$D$9/TAN(E541)</f>
        <v>90.80791011143604</v>
      </c>
      <c r="H541" s="74">
        <f aca="true" t="shared" si="212" ref="H541:H597">IF(D541&gt;$F$17,I541,IF(D541&lt;$F$16,K541,J541))</f>
        <v>48.07465394252364</v>
      </c>
      <c r="I541" s="74">
        <f t="shared" si="203"/>
        <v>70.58732175321292</v>
      </c>
      <c r="J541" s="74">
        <f t="shared" si="205"/>
        <v>48.07465394252364</v>
      </c>
      <c r="K541" s="74">
        <f t="shared" si="204"/>
        <v>51.43701720295304</v>
      </c>
      <c r="L541" s="74">
        <f aca="true" t="shared" si="213" ref="L541:L597">F541+D$14</f>
        <v>1.7224666173438816</v>
      </c>
      <c r="M541" s="74">
        <f t="shared" si="206"/>
        <v>3.2265668130425462</v>
      </c>
      <c r="N541" s="74">
        <f aca="true" t="shared" si="214" ref="N541:N597">M541*SIN(D$17-F541)</f>
        <v>0.9363479397359457</v>
      </c>
      <c r="O541" s="74">
        <f aca="true" t="shared" si="215" ref="O541:O597">SIN(E541-F$4)/SIN(E541+F541-2*F$4)*(G541+H541)</f>
        <v>74.98381116104726</v>
      </c>
      <c r="P541" s="74">
        <f aca="true" t="shared" si="216" ref="P541:P597">ATAN((O541*COS(F541-F$4)-H541)/(O541*SIN(F541-F$4)))</f>
        <v>0.3009389815227827</v>
      </c>
    </row>
    <row r="542" spans="2:16" ht="13.5">
      <c r="B542" s="74">
        <f t="shared" si="207"/>
        <v>43.16487602555885</v>
      </c>
      <c r="C542" s="70">
        <f t="shared" si="208"/>
        <v>59.041000000000004</v>
      </c>
      <c r="D542" s="70">
        <f>D511</f>
        <v>66</v>
      </c>
      <c r="E542" s="74">
        <f t="shared" si="209"/>
        <v>1.0304598436699721</v>
      </c>
      <c r="F542" s="74">
        <f t="shared" si="210"/>
        <v>1.1519173063162575</v>
      </c>
      <c r="G542" s="74">
        <f t="shared" si="211"/>
        <v>90.80791011143604</v>
      </c>
      <c r="H542" s="74">
        <f t="shared" si="212"/>
        <v>46.34369565210348</v>
      </c>
      <c r="I542" s="74">
        <f t="shared" si="203"/>
        <v>67.39649223857965</v>
      </c>
      <c r="J542" s="74">
        <f t="shared" si="205"/>
        <v>46.34369565210348</v>
      </c>
      <c r="K542" s="74">
        <f t="shared" si="204"/>
        <v>50.18545319019432</v>
      </c>
      <c r="L542" s="74">
        <f t="shared" si="213"/>
        <v>1.7399199098638252</v>
      </c>
      <c r="M542" s="74">
        <f t="shared" si="206"/>
        <v>3.235690820800044</v>
      </c>
      <c r="N542" s="74">
        <f t="shared" si="214"/>
        <v>0.8848122620472225</v>
      </c>
      <c r="O542" s="74">
        <f t="shared" si="215"/>
        <v>73.43647336711443</v>
      </c>
      <c r="P542" s="74">
        <f t="shared" si="216"/>
        <v>0.29396705924560296</v>
      </c>
    </row>
    <row r="543" spans="2:16" ht="13.5">
      <c r="B543" s="74">
        <f t="shared" si="207"/>
        <v>43.28901790639479</v>
      </c>
      <c r="C543" s="70">
        <f t="shared" si="208"/>
        <v>59.041000000000004</v>
      </c>
      <c r="D543" s="70">
        <f>D512</f>
        <v>67</v>
      </c>
      <c r="E543" s="74">
        <f t="shared" si="209"/>
        <v>1.0304598436699721</v>
      </c>
      <c r="F543" s="74">
        <f t="shared" si="210"/>
        <v>1.1693705988362006</v>
      </c>
      <c r="G543" s="74">
        <f t="shared" si="211"/>
        <v>90.80791011143604</v>
      </c>
      <c r="H543" s="74">
        <f t="shared" si="212"/>
        <v>44.602388153158174</v>
      </c>
      <c r="I543" s="74">
        <f t="shared" si="203"/>
        <v>64.25487530372895</v>
      </c>
      <c r="J543" s="74">
        <f t="shared" si="205"/>
        <v>44.602388153158174</v>
      </c>
      <c r="K543" s="74">
        <f t="shared" si="204"/>
        <v>48.95319221244529</v>
      </c>
      <c r="L543" s="74">
        <f t="shared" si="213"/>
        <v>1.7573732023837683</v>
      </c>
      <c r="M543" s="74">
        <f t="shared" si="206"/>
        <v>3.2458580998131934</v>
      </c>
      <c r="N543" s="74">
        <f t="shared" si="214"/>
        <v>0.8329684582310031</v>
      </c>
      <c r="O543" s="74">
        <f t="shared" si="215"/>
        <v>71.93076982303556</v>
      </c>
      <c r="P543" s="74">
        <f t="shared" si="216"/>
        <v>0.2884313540356605</v>
      </c>
    </row>
    <row r="544" spans="2:16" ht="13.5">
      <c r="B544" s="74">
        <f t="shared" si="207"/>
        <v>43.38192111778531</v>
      </c>
      <c r="C544" s="70">
        <f t="shared" si="208"/>
        <v>59.041000000000004</v>
      </c>
      <c r="D544" s="70">
        <f aca="true" t="shared" si="217" ref="D544:D597">D513</f>
        <v>68</v>
      </c>
      <c r="E544" s="74">
        <f t="shared" si="209"/>
        <v>1.0304598436699721</v>
      </c>
      <c r="F544" s="74">
        <f t="shared" si="210"/>
        <v>1.1868238913561442</v>
      </c>
      <c r="G544" s="74">
        <f t="shared" si="211"/>
        <v>90.80791011143604</v>
      </c>
      <c r="H544" s="74">
        <f t="shared" si="212"/>
        <v>42.84956737955771</v>
      </c>
      <c r="I544" s="74">
        <f t="shared" si="203"/>
        <v>61.15946993579685</v>
      </c>
      <c r="J544" s="74">
        <f t="shared" si="205"/>
        <v>42.84956737955771</v>
      </c>
      <c r="K544" s="74">
        <f t="shared" si="204"/>
        <v>47.739057158962424</v>
      </c>
      <c r="L544" s="74">
        <f t="shared" si="213"/>
        <v>1.7748264949037118</v>
      </c>
      <c r="M544" s="74">
        <f t="shared" si="206"/>
        <v>3.2570847429771757</v>
      </c>
      <c r="N544" s="74">
        <f t="shared" si="214"/>
        <v>0.7807818706428962</v>
      </c>
      <c r="O544" s="74">
        <f t="shared" si="215"/>
        <v>70.46392028157705</v>
      </c>
      <c r="P544" s="74">
        <f t="shared" si="216"/>
        <v>0.2842974984027019</v>
      </c>
    </row>
    <row r="545" spans="2:16" ht="13.5">
      <c r="B545" s="74">
        <f t="shared" si="207"/>
        <v>43.444040400147124</v>
      </c>
      <c r="C545" s="70">
        <f t="shared" si="208"/>
        <v>59.041000000000004</v>
      </c>
      <c r="D545" s="70">
        <f t="shared" si="217"/>
        <v>69</v>
      </c>
      <c r="E545" s="74">
        <f t="shared" si="209"/>
        <v>1.0304598436699721</v>
      </c>
      <c r="F545" s="74">
        <f t="shared" si="210"/>
        <v>1.2042771838760873</v>
      </c>
      <c r="G545" s="74">
        <f t="shared" si="211"/>
        <v>90.80791011143604</v>
      </c>
      <c r="H545" s="74">
        <f t="shared" si="212"/>
        <v>41.08403968726031</v>
      </c>
      <c r="I545" s="74">
        <f t="shared" si="203"/>
        <v>58.107418303486085</v>
      </c>
      <c r="J545" s="74">
        <f t="shared" si="205"/>
        <v>41.08403968726031</v>
      </c>
      <c r="K545" s="74">
        <f t="shared" si="204"/>
        <v>46.54192708022782</v>
      </c>
      <c r="L545" s="74">
        <f t="shared" si="213"/>
        <v>1.792279787423655</v>
      </c>
      <c r="M545" s="74">
        <f t="shared" si="206"/>
        <v>3.2693886601519666</v>
      </c>
      <c r="N545" s="74">
        <f t="shared" si="214"/>
        <v>0.7282169610177962</v>
      </c>
      <c r="O545" s="74">
        <f t="shared" si="215"/>
        <v>69.03326353000166</v>
      </c>
      <c r="P545" s="74">
        <f t="shared" si="216"/>
        <v>0.2815377154242465</v>
      </c>
    </row>
    <row r="546" spans="2:16" ht="13.5">
      <c r="B546" s="74">
        <f aca="true" t="shared" si="218" ref="B546:B597">O546*SIN(F546-F$4)</f>
        <v>43.47574006120164</v>
      </c>
      <c r="C546" s="70">
        <f t="shared" si="208"/>
        <v>59.041000000000004</v>
      </c>
      <c r="D546" s="70">
        <f t="shared" si="217"/>
        <v>70</v>
      </c>
      <c r="E546" s="74">
        <f t="shared" si="209"/>
        <v>1.0304598436699721</v>
      </c>
      <c r="F546" s="74">
        <f t="shared" si="210"/>
        <v>1.2217304763960306</v>
      </c>
      <c r="G546" s="74">
        <f t="shared" si="211"/>
        <v>90.80791011143604</v>
      </c>
      <c r="H546" s="74">
        <f t="shared" si="212"/>
        <v>39.30457845389725</v>
      </c>
      <c r="I546" s="74">
        <f t="shared" si="203"/>
        <v>55.09599421204639</v>
      </c>
      <c r="J546" s="74">
        <f t="shared" si="205"/>
        <v>39.30457845389725</v>
      </c>
      <c r="K546" s="74">
        <f t="shared" si="204"/>
        <v>45.360732659555765</v>
      </c>
      <c r="L546" s="74">
        <f t="shared" si="213"/>
        <v>1.809733079943598</v>
      </c>
      <c r="M546" s="74">
        <f t="shared" si="206"/>
        <v>3.2827896493451227</v>
      </c>
      <c r="N546" s="74">
        <f t="shared" si="214"/>
        <v>0.6752372092296027</v>
      </c>
      <c r="O546" s="74">
        <f t="shared" si="215"/>
        <v>67.63624470360116</v>
      </c>
      <c r="P546" s="74">
        <f t="shared" si="216"/>
        <v>0.28013073125713434</v>
      </c>
    </row>
    <row r="547" spans="2:16" ht="13.5">
      <c r="B547" s="74">
        <f t="shared" si="218"/>
        <v>43.47729648810961</v>
      </c>
      <c r="C547" s="70">
        <f t="shared" si="208"/>
        <v>59.041000000000004</v>
      </c>
      <c r="D547" s="70">
        <f t="shared" si="217"/>
        <v>71</v>
      </c>
      <c r="E547" s="74">
        <f t="shared" si="209"/>
        <v>1.0304598436699721</v>
      </c>
      <c r="F547" s="74">
        <f t="shared" si="210"/>
        <v>1.239183768915974</v>
      </c>
      <c r="G547" s="74">
        <f t="shared" si="211"/>
        <v>90.80791011143604</v>
      </c>
      <c r="H547" s="74">
        <f t="shared" si="212"/>
        <v>37.50992049257642</v>
      </c>
      <c r="I547" s="74">
        <f t="shared" si="203"/>
        <v>52.12259246172309</v>
      </c>
      <c r="J547" s="74">
        <f t="shared" si="205"/>
        <v>37.50992049257642</v>
      </c>
      <c r="K547" s="74">
        <f t="shared" si="204"/>
        <v>44.19445203907388</v>
      </c>
      <c r="L547" s="74">
        <f t="shared" si="213"/>
        <v>1.8271863724635415</v>
      </c>
      <c r="M547" s="74">
        <f t="shared" si="206"/>
        <v>3.297309476365921</v>
      </c>
      <c r="N547" s="74">
        <f t="shared" si="214"/>
        <v>0.6218050065196917</v>
      </c>
      <c r="O547" s="74">
        <f t="shared" si="215"/>
        <v>66.27040337362493</v>
      </c>
      <c r="P547" s="74">
        <f t="shared" si="216"/>
        <v>0.28006167297904644</v>
      </c>
    </row>
    <row r="548" spans="2:16" ht="13.5">
      <c r="B548" s="74">
        <f t="shared" si="218"/>
        <v>43.448900088709514</v>
      </c>
      <c r="C548" s="70">
        <f t="shared" si="208"/>
        <v>59.041000000000004</v>
      </c>
      <c r="D548" s="70">
        <f t="shared" si="217"/>
        <v>72</v>
      </c>
      <c r="E548" s="74">
        <f t="shared" si="209"/>
        <v>1.0304598436699721</v>
      </c>
      <c r="F548" s="74">
        <f t="shared" si="210"/>
        <v>1.2566370614359172</v>
      </c>
      <c r="G548" s="74">
        <f t="shared" si="211"/>
        <v>90.80791011143604</v>
      </c>
      <c r="H548" s="74">
        <f t="shared" si="212"/>
        <v>35.698762256707205</v>
      </c>
      <c r="I548" s="74">
        <f t="shared" si="203"/>
        <v>49.18471901725621</v>
      </c>
      <c r="J548" s="74">
        <f t="shared" si="205"/>
        <v>35.698762256707205</v>
      </c>
      <c r="K548" s="74">
        <f t="shared" si="204"/>
        <v>43.042106963828815</v>
      </c>
      <c r="L548" s="74">
        <f t="shared" si="213"/>
        <v>1.8446396649834846</v>
      </c>
      <c r="M548" s="74">
        <f t="shared" si="206"/>
        <v>3.3129719635610875</v>
      </c>
      <c r="N548" s="74">
        <f t="shared" si="214"/>
        <v>0.5678815425034818</v>
      </c>
      <c r="O548" s="74">
        <f t="shared" si="215"/>
        <v>64.93336229998668</v>
      </c>
      <c r="P548" s="74">
        <f t="shared" si="216"/>
        <v>0.28132195990457887</v>
      </c>
    </row>
    <row r="549" spans="2:16" ht="13.5">
      <c r="B549" s="74">
        <f t="shared" si="218"/>
        <v>43.39065668452769</v>
      </c>
      <c r="C549" s="70">
        <f t="shared" si="208"/>
        <v>59.041000000000004</v>
      </c>
      <c r="D549" s="70">
        <f t="shared" si="217"/>
        <v>73</v>
      </c>
      <c r="E549" s="74">
        <f t="shared" si="209"/>
        <v>1.0304598436699721</v>
      </c>
      <c r="F549" s="74">
        <f t="shared" si="210"/>
        <v>1.2740903539558606</v>
      </c>
      <c r="G549" s="74">
        <f t="shared" si="211"/>
        <v>90.80791011143604</v>
      </c>
      <c r="H549" s="74">
        <f t="shared" si="212"/>
        <v>33.86975581055276</v>
      </c>
      <c r="I549" s="74">
        <f t="shared" si="203"/>
        <v>46.27998190580472</v>
      </c>
      <c r="J549" s="74">
        <f t="shared" si="205"/>
        <v>33.86975581055276</v>
      </c>
      <c r="K549" s="74">
        <f t="shared" si="204"/>
        <v>41.90275921160796</v>
      </c>
      <c r="L549" s="74">
        <f t="shared" si="213"/>
        <v>1.8620929575034282</v>
      </c>
      <c r="M549" s="74">
        <f t="shared" si="206"/>
        <v>3.3298030883232532</v>
      </c>
      <c r="N549" s="74">
        <f t="shared" si="214"/>
        <v>0.5134266852020202</v>
      </c>
      <c r="O549" s="74">
        <f t="shared" si="215"/>
        <v>63.62281674775781</v>
      </c>
      <c r="P549" s="74">
        <f t="shared" si="216"/>
        <v>0.28390919263940434</v>
      </c>
    </row>
    <row r="550" spans="2:16" ht="13.5">
      <c r="B550" s="74">
        <f t="shared" si="218"/>
        <v>43.30258837194647</v>
      </c>
      <c r="C550" s="70">
        <f t="shared" si="208"/>
        <v>59.041000000000004</v>
      </c>
      <c r="D550" s="70">
        <f t="shared" si="217"/>
        <v>74</v>
      </c>
      <c r="E550" s="74">
        <f t="shared" si="209"/>
        <v>1.0304598436699721</v>
      </c>
      <c r="F550" s="74">
        <f t="shared" si="210"/>
        <v>1.2915436464758039</v>
      </c>
      <c r="G550" s="74">
        <f t="shared" si="211"/>
        <v>90.80791011143604</v>
      </c>
      <c r="H550" s="74">
        <f t="shared" si="212"/>
        <v>32.02150453781869</v>
      </c>
      <c r="I550" s="74">
        <f t="shared" si="203"/>
        <v>43.40608276923955</v>
      </c>
      <c r="J550" s="74">
        <f t="shared" si="205"/>
        <v>32.02150453781869</v>
      </c>
      <c r="K550" s="74">
        <f t="shared" si="204"/>
        <v>40.77550727942922</v>
      </c>
      <c r="L550" s="74">
        <f t="shared" si="213"/>
        <v>1.8795462500233713</v>
      </c>
      <c r="M550" s="74">
        <f t="shared" si="206"/>
        <v>3.347831092152982</v>
      </c>
      <c r="N550" s="74">
        <f t="shared" si="214"/>
        <v>0.4583988532741495</v>
      </c>
      <c r="O550" s="74">
        <f t="shared" si="215"/>
        <v>62.33652427355646</v>
      </c>
      <c r="P550" s="74">
        <f t="shared" si="216"/>
        <v>0.2878270406984278</v>
      </c>
    </row>
    <row r="551" spans="2:16" ht="13.5">
      <c r="B551" s="74">
        <f t="shared" si="218"/>
        <v>43.184633861930365</v>
      </c>
      <c r="C551" s="70">
        <f t="shared" si="208"/>
        <v>59.041000000000004</v>
      </c>
      <c r="D551" s="70">
        <f t="shared" si="217"/>
        <v>75</v>
      </c>
      <c r="E551" s="74">
        <f t="shared" si="209"/>
        <v>1.0304598436699721</v>
      </c>
      <c r="F551" s="74">
        <f t="shared" si="210"/>
        <v>1.3089969389957472</v>
      </c>
      <c r="G551" s="74">
        <f t="shared" si="211"/>
        <v>90.80791011143604</v>
      </c>
      <c r="H551" s="74">
        <f t="shared" si="212"/>
        <v>30.152558557855457</v>
      </c>
      <c r="I551" s="74">
        <f t="shared" si="203"/>
        <v>40.560809004261195</v>
      </c>
      <c r="J551" s="74">
        <f t="shared" si="205"/>
        <v>30.152558557855457</v>
      </c>
      <c r="K551" s="74">
        <f t="shared" si="204"/>
        <v>39.65948330059791</v>
      </c>
      <c r="L551" s="74">
        <f t="shared" si="213"/>
        <v>1.8969995425433148</v>
      </c>
      <c r="M551" s="74">
        <f t="shared" si="206"/>
        <v>3.3670866011551928</v>
      </c>
      <c r="N551" s="74">
        <f t="shared" si="214"/>
        <v>0.4027548795434824</v>
      </c>
      <c r="O551" s="74">
        <f t="shared" si="215"/>
        <v>61.07229489365833</v>
      </c>
      <c r="P551" s="74">
        <f t="shared" si="216"/>
        <v>0.29308512632754985</v>
      </c>
    </row>
    <row r="552" spans="2:16" ht="13.5">
      <c r="B552" s="74">
        <f t="shared" si="218"/>
        <v>43.03664830291519</v>
      </c>
      <c r="C552" s="70">
        <f t="shared" si="208"/>
        <v>59.041000000000004</v>
      </c>
      <c r="D552" s="70">
        <f t="shared" si="217"/>
        <v>76</v>
      </c>
      <c r="E552" s="74">
        <f t="shared" si="209"/>
        <v>1.0304598436699721</v>
      </c>
      <c r="F552" s="74">
        <f t="shared" si="210"/>
        <v>1.3264502315156903</v>
      </c>
      <c r="G552" s="74">
        <f t="shared" si="211"/>
        <v>90.80791011143604</v>
      </c>
      <c r="H552" s="74">
        <f t="shared" si="212"/>
        <v>28.2614098159386</v>
      </c>
      <c r="I552" s="74">
        <f t="shared" si="203"/>
        <v>37.7420264303865</v>
      </c>
      <c r="J552" s="74">
        <f t="shared" si="205"/>
        <v>28.2614098159386</v>
      </c>
      <c r="K552" s="74">
        <f t="shared" si="204"/>
        <v>38.55385016881386</v>
      </c>
      <c r="L552" s="74">
        <f t="shared" si="213"/>
        <v>1.914452835063258</v>
      </c>
      <c r="M552" s="74">
        <f>J$18/SIN(L552)*SIN(J$19)</f>
        <v>3.3876027589624966</v>
      </c>
      <c r="N552" s="74">
        <f t="shared" si="214"/>
        <v>0.34644986482172163</v>
      </c>
      <c r="O552" s="74">
        <f t="shared" si="215"/>
        <v>59.82798155010244</v>
      </c>
      <c r="P552" s="74">
        <f t="shared" si="216"/>
        <v>0.2996988990587974</v>
      </c>
    </row>
    <row r="553" spans="2:16" ht="13.5">
      <c r="B553" s="74">
        <f t="shared" si="218"/>
        <v>42.85840258575534</v>
      </c>
      <c r="C553" s="70">
        <f t="shared" si="208"/>
        <v>59.041000000000004</v>
      </c>
      <c r="D553" s="70">
        <f t="shared" si="217"/>
        <v>77</v>
      </c>
      <c r="E553" s="74">
        <f t="shared" si="209"/>
        <v>1.0304598436699721</v>
      </c>
      <c r="F553" s="74">
        <f t="shared" si="210"/>
        <v>1.3439035240356338</v>
      </c>
      <c r="G553" s="74">
        <f t="shared" si="211"/>
        <v>90.80791011143604</v>
      </c>
      <c r="H553" s="74">
        <f t="shared" si="212"/>
        <v>26.34648681054474</v>
      </c>
      <c r="I553" s="74">
        <f t="shared" si="203"/>
        <v>34.9476724316321</v>
      </c>
      <c r="J553" s="74">
        <f aca="true" t="shared" si="219" ref="J553:J562">0.5*$J$18*N553*$D$3+$G$18</f>
        <v>26.34648681054474</v>
      </c>
      <c r="K553" s="74">
        <f t="shared" si="204"/>
        <v>37.4577988480803</v>
      </c>
      <c r="L553" s="74">
        <f t="shared" si="213"/>
        <v>1.9319061275832015</v>
      </c>
      <c r="M553" s="74">
        <f aca="true" t="shared" si="220" ref="M553:M562">J$18/SIN(L553)*SIN(J$19)</f>
        <v>3.409415373203253</v>
      </c>
      <c r="N553" s="74">
        <f t="shared" si="214"/>
        <v>0.2894370209242849</v>
      </c>
      <c r="O553" s="74">
        <f t="shared" si="215"/>
        <v>58.60147079432232</v>
      </c>
      <c r="P553" s="74">
        <f t="shared" si="216"/>
        <v>0.3076894923377314</v>
      </c>
    </row>
    <row r="554" spans="2:16" ht="13.5">
      <c r="B554" s="74">
        <f t="shared" si="218"/>
        <v>42.64958212390598</v>
      </c>
      <c r="C554" s="70">
        <f t="shared" si="208"/>
        <v>59.041000000000004</v>
      </c>
      <c r="D554" s="70">
        <f t="shared" si="217"/>
        <v>78</v>
      </c>
      <c r="E554" s="74">
        <f t="shared" si="209"/>
        <v>1.0304598436699721</v>
      </c>
      <c r="F554" s="74">
        <f t="shared" si="210"/>
        <v>1.361356816555577</v>
      </c>
      <c r="G554" s="74">
        <f t="shared" si="211"/>
        <v>90.80791011143604</v>
      </c>
      <c r="H554" s="74">
        <f t="shared" si="212"/>
        <v>24.40614891650218</v>
      </c>
      <c r="I554" s="74">
        <f t="shared" si="203"/>
        <v>32.17574952279962</v>
      </c>
      <c r="J554" s="74">
        <f t="shared" si="219"/>
        <v>24.40614891650218</v>
      </c>
      <c r="K554" s="74">
        <f t="shared" si="204"/>
        <v>36.370545849157565</v>
      </c>
      <c r="L554" s="74">
        <f t="shared" si="213"/>
        <v>1.9493594201031446</v>
      </c>
      <c r="M554" s="74">
        <f t="shared" si="220"/>
        <v>3.4325630767730444</v>
      </c>
      <c r="N554" s="74">
        <f t="shared" si="214"/>
        <v>0.23166750165393885</v>
      </c>
      <c r="O554" s="74">
        <f t="shared" si="215"/>
        <v>57.39067360996291</v>
      </c>
      <c r="P554" s="74">
        <f t="shared" si="216"/>
        <v>0.3170835501523901</v>
      </c>
    </row>
    <row r="555" spans="2:16" ht="13.5">
      <c r="B555" s="74">
        <f t="shared" si="218"/>
        <v>42.40978509618436</v>
      </c>
      <c r="C555" s="70">
        <f t="shared" si="208"/>
        <v>59.041000000000004</v>
      </c>
      <c r="D555" s="70">
        <f t="shared" si="217"/>
        <v>79</v>
      </c>
      <c r="E555" s="74">
        <f t="shared" si="209"/>
        <v>1.0304598436699721</v>
      </c>
      <c r="F555" s="74">
        <f t="shared" si="210"/>
        <v>1.3788101090755203</v>
      </c>
      <c r="G555" s="74">
        <f t="shared" si="211"/>
        <v>90.80791011143604</v>
      </c>
      <c r="H555" s="74">
        <f t="shared" si="212"/>
        <v>22.438680258289008</v>
      </c>
      <c r="I555" s="74">
        <f t="shared" si="203"/>
        <v>29.424319295722153</v>
      </c>
      <c r="J555" s="74">
        <f t="shared" si="219"/>
        <v>22.438680258289008</v>
      </c>
      <c r="K555" s="74">
        <f t="shared" si="204"/>
        <v>35.29133085505204</v>
      </c>
      <c r="L555" s="74">
        <f t="shared" si="213"/>
        <v>1.9668127126230877</v>
      </c>
      <c r="M555" s="74">
        <f t="shared" si="220"/>
        <v>3.4570875053272205</v>
      </c>
      <c r="N555" s="74">
        <f t="shared" si="214"/>
        <v>0.17309022039101127</v>
      </c>
      <c r="O555" s="74">
        <f t="shared" si="215"/>
        <v>56.19351629757504</v>
      </c>
      <c r="P555" s="74">
        <f t="shared" si="216"/>
        <v>0.32791300785096716</v>
      </c>
    </row>
    <row r="556" spans="2:16" ht="13.5">
      <c r="B556" s="74">
        <f t="shared" si="218"/>
        <v>42.13852013341039</v>
      </c>
      <c r="C556" s="70">
        <f t="shared" si="208"/>
        <v>59.041000000000004</v>
      </c>
      <c r="D556" s="70">
        <f t="shared" si="217"/>
        <v>80</v>
      </c>
      <c r="E556" s="74">
        <f t="shared" si="209"/>
        <v>1.0304598436699721</v>
      </c>
      <c r="F556" s="74">
        <f t="shared" si="210"/>
        <v>1.3962634015954636</v>
      </c>
      <c r="G556" s="74">
        <f t="shared" si="211"/>
        <v>90.80791011143604</v>
      </c>
      <c r="H556" s="74">
        <f t="shared" si="212"/>
        <v>20.442283082501756</v>
      </c>
      <c r="I556" s="74">
        <f t="shared" si="203"/>
        <v>26.691496704743898</v>
      </c>
      <c r="J556" s="74">
        <f t="shared" si="219"/>
        <v>20.442283082501756</v>
      </c>
      <c r="K556" s="74">
        <f t="shared" si="204"/>
        <v>34.21941447956511</v>
      </c>
      <c r="L556" s="74">
        <f t="shared" si="213"/>
        <v>1.9842660051430312</v>
      </c>
      <c r="M556" s="74">
        <f t="shared" si="220"/>
        <v>3.483033492591896</v>
      </c>
      <c r="N556" s="74">
        <f t="shared" si="214"/>
        <v>0.1136516527724497</v>
      </c>
      <c r="O556" s="74">
        <f t="shared" si="215"/>
        <v>55.0079313438289</v>
      </c>
      <c r="P556" s="74">
        <f t="shared" si="216"/>
        <v>0.3402148071814564</v>
      </c>
    </row>
    <row r="557" spans="2:16" ht="13.5">
      <c r="B557" s="74">
        <f t="shared" si="218"/>
        <v>41.835203423859774</v>
      </c>
      <c r="C557" s="70">
        <f t="shared" si="208"/>
        <v>59.041000000000004</v>
      </c>
      <c r="D557" s="70">
        <f t="shared" si="217"/>
        <v>81</v>
      </c>
      <c r="E557" s="74">
        <f t="shared" si="209"/>
        <v>1.0304598436699721</v>
      </c>
      <c r="F557" s="74">
        <f t="shared" si="210"/>
        <v>1.413716694115407</v>
      </c>
      <c r="G557" s="74">
        <f t="shared" si="211"/>
        <v>90.80791011143604</v>
      </c>
      <c r="H557" s="74">
        <f t="shared" si="212"/>
        <v>18.415070572518374</v>
      </c>
      <c r="I557" s="74">
        <f t="shared" si="203"/>
        <v>23.97544465412669</v>
      </c>
      <c r="J557" s="74">
        <f t="shared" si="219"/>
        <v>18.415070572518374</v>
      </c>
      <c r="K557" s="74">
        <f t="shared" si="204"/>
        <v>33.15407614426935</v>
      </c>
      <c r="L557" s="74">
        <f t="shared" si="213"/>
        <v>2.0017192976629743</v>
      </c>
      <c r="M557" s="74">
        <f t="shared" si="220"/>
        <v>3.510449285294637</v>
      </c>
      <c r="N557" s="74">
        <f t="shared" si="214"/>
        <v>0.053295622763378</v>
      </c>
      <c r="O557" s="74">
        <f t="shared" si="215"/>
        <v>53.83184819673815</v>
      </c>
      <c r="P557" s="74">
        <f t="shared" si="216"/>
        <v>0.3540305209916953</v>
      </c>
    </row>
    <row r="558" spans="2:16" ht="13.5">
      <c r="B558" s="74">
        <f t="shared" si="218"/>
        <v>43.40417149055572</v>
      </c>
      <c r="C558" s="70">
        <f t="shared" si="208"/>
        <v>59.041000000000004</v>
      </c>
      <c r="D558" s="70">
        <f t="shared" si="217"/>
        <v>82</v>
      </c>
      <c r="E558" s="74">
        <f t="shared" si="209"/>
        <v>1.0304598436699721</v>
      </c>
      <c r="F558" s="74">
        <f t="shared" si="210"/>
        <v>1.43116998663535</v>
      </c>
      <c r="G558" s="74">
        <f t="shared" si="211"/>
        <v>90.80791011143604</v>
      </c>
      <c r="H558" s="74">
        <f t="shared" si="212"/>
        <v>21.274368853074545</v>
      </c>
      <c r="I558" s="74">
        <f t="shared" si="203"/>
        <v>21.274368853074545</v>
      </c>
      <c r="J558" s="74">
        <f t="shared" si="219"/>
        <v>16.355059041525283</v>
      </c>
      <c r="K558" s="74">
        <f t="shared" si="204"/>
        <v>32.09461206045451</v>
      </c>
      <c r="L558" s="74">
        <f t="shared" si="213"/>
        <v>2.0191725901829174</v>
      </c>
      <c r="M558" s="74">
        <f t="shared" si="220"/>
        <v>3.539386779747792</v>
      </c>
      <c r="N558" s="74">
        <f t="shared" si="214"/>
        <v>-0.008036929779261789</v>
      </c>
      <c r="O558" s="74">
        <f t="shared" si="215"/>
        <v>55.080684231649144</v>
      </c>
      <c r="P558" s="74">
        <f t="shared" si="216"/>
        <v>0.28330857903967127</v>
      </c>
    </row>
    <row r="559" spans="2:16" ht="13.5">
      <c r="B559" s="74">
        <f t="shared" si="218"/>
        <v>42.823175489239084</v>
      </c>
      <c r="C559" s="70">
        <f t="shared" si="208"/>
        <v>59.041000000000004</v>
      </c>
      <c r="D559" s="70">
        <f t="shared" si="217"/>
        <v>83</v>
      </c>
      <c r="E559" s="74">
        <f t="shared" si="209"/>
        <v>1.0304598436699721</v>
      </c>
      <c r="F559" s="74">
        <f t="shared" si="210"/>
        <v>1.4486232791552935</v>
      </c>
      <c r="G559" s="74">
        <f t="shared" si="211"/>
        <v>90.80791011143604</v>
      </c>
      <c r="H559" s="74">
        <f t="shared" si="212"/>
        <v>18.586512906677186</v>
      </c>
      <c r="I559" s="74">
        <f t="shared" si="203"/>
        <v>18.586512906677186</v>
      </c>
      <c r="J559" s="74">
        <f t="shared" si="219"/>
        <v>14.26015943222883</v>
      </c>
      <c r="K559" s="74">
        <f t="shared" si="204"/>
        <v>31.040333303609955</v>
      </c>
      <c r="L559" s="74">
        <f t="shared" si="213"/>
        <v>2.036625882702861</v>
      </c>
      <c r="M559" s="74">
        <f t="shared" si="220"/>
        <v>3.569901782381449</v>
      </c>
      <c r="N559" s="74">
        <f t="shared" si="214"/>
        <v>-0.0704082021850964</v>
      </c>
      <c r="O559" s="74">
        <f t="shared" si="215"/>
        <v>53.620425025557935</v>
      </c>
      <c r="P559" s="74">
        <f t="shared" si="216"/>
        <v>0.30927177978348347</v>
      </c>
    </row>
    <row r="560" spans="2:16" ht="13.5">
      <c r="B560" s="74">
        <f t="shared" si="218"/>
        <v>42.22194491828018</v>
      </c>
      <c r="C560" s="70">
        <f t="shared" si="208"/>
        <v>59.041000000000004</v>
      </c>
      <c r="D560" s="70">
        <f t="shared" si="217"/>
        <v>84</v>
      </c>
      <c r="E560" s="74">
        <f t="shared" si="209"/>
        <v>1.0304598436699721</v>
      </c>
      <c r="F560" s="74">
        <f t="shared" si="210"/>
        <v>1.4660765716752369</v>
      </c>
      <c r="G560" s="74">
        <f t="shared" si="211"/>
        <v>90.80791011143604</v>
      </c>
      <c r="H560" s="74">
        <f t="shared" si="212"/>
        <v>15.910153613341771</v>
      </c>
      <c r="I560" s="74">
        <f t="shared" si="203"/>
        <v>15.910153613341771</v>
      </c>
      <c r="J560" s="74">
        <f t="shared" si="219"/>
        <v>12.128168042573405</v>
      </c>
      <c r="K560" s="74">
        <f t="shared" si="204"/>
        <v>29.990563968899536</v>
      </c>
      <c r="L560" s="74">
        <f t="shared" si="213"/>
        <v>2.0540791752228045</v>
      </c>
      <c r="M560" s="74">
        <f t="shared" si="220"/>
        <v>3.602054296824678</v>
      </c>
      <c r="N560" s="74">
        <f t="shared" si="214"/>
        <v>-0.1338838050927462</v>
      </c>
      <c r="O560" s="74">
        <f t="shared" si="215"/>
        <v>52.189194061246106</v>
      </c>
      <c r="P560" s="74">
        <f t="shared" si="216"/>
        <v>0.33642591170356195</v>
      </c>
    </row>
    <row r="561" spans="2:16" ht="13.5">
      <c r="B561" s="74">
        <f t="shared" si="218"/>
        <v>41.6003898457173</v>
      </c>
      <c r="C561" s="70">
        <f t="shared" si="208"/>
        <v>59.041000000000004</v>
      </c>
      <c r="D561" s="70">
        <f t="shared" si="217"/>
        <v>85</v>
      </c>
      <c r="E561" s="74">
        <f t="shared" si="209"/>
        <v>1.0304598436699721</v>
      </c>
      <c r="F561" s="74">
        <f t="shared" si="210"/>
        <v>1.4835298641951802</v>
      </c>
      <c r="G561" s="74">
        <f t="shared" si="211"/>
        <v>90.80791011143604</v>
      </c>
      <c r="H561" s="74">
        <f t="shared" si="212"/>
        <v>13.24359644123674</v>
      </c>
      <c r="I561" s="74">
        <f t="shared" si="203"/>
        <v>13.24359644123674</v>
      </c>
      <c r="J561" s="74">
        <f t="shared" si="219"/>
        <v>9.956756386451493</v>
      </c>
      <c r="K561" s="74">
        <f t="shared" si="204"/>
        <v>28.944639396851734</v>
      </c>
      <c r="L561" s="74">
        <f t="shared" si="213"/>
        <v>2.0715324677427476</v>
      </c>
      <c r="M561" s="74">
        <f t="shared" si="220"/>
        <v>3.6359088404790922</v>
      </c>
      <c r="N561" s="74">
        <f t="shared" si="214"/>
        <v>-0.1985330643260647</v>
      </c>
      <c r="O561" s="74">
        <f t="shared" si="215"/>
        <v>50.78469880622179</v>
      </c>
      <c r="P561" s="74">
        <f t="shared" si="216"/>
        <v>0.3647668059837184</v>
      </c>
    </row>
    <row r="562" spans="2:16" ht="13.5">
      <c r="B562" s="74">
        <f t="shared" si="218"/>
        <v>40.95836766410678</v>
      </c>
      <c r="C562" s="70">
        <f t="shared" si="208"/>
        <v>59.041000000000004</v>
      </c>
      <c r="D562" s="70">
        <f t="shared" si="217"/>
        <v>86</v>
      </c>
      <c r="E562" s="74">
        <f t="shared" si="209"/>
        <v>1.0304598436699721</v>
      </c>
      <c r="F562" s="74">
        <f t="shared" si="210"/>
        <v>1.5009831567151233</v>
      </c>
      <c r="G562" s="74">
        <f t="shared" si="211"/>
        <v>90.80791011143604</v>
      </c>
      <c r="H562" s="74">
        <f t="shared" si="212"/>
        <v>10.585171157948913</v>
      </c>
      <c r="I562" s="74">
        <f t="shared" si="203"/>
        <v>10.585171157948913</v>
      </c>
      <c r="J562" s="74">
        <f t="shared" si="219"/>
        <v>7.743460086500027</v>
      </c>
      <c r="K562" s="74">
        <f t="shared" si="204"/>
        <v>27.90190445914594</v>
      </c>
      <c r="L562" s="74">
        <f t="shared" si="213"/>
        <v>2.0889857602626907</v>
      </c>
      <c r="M562" s="74">
        <f t="shared" si="220"/>
        <v>3.6715347939252476</v>
      </c>
      <c r="N562" s="74">
        <f t="shared" si="214"/>
        <v>-0.26442935158799213</v>
      </c>
      <c r="O562" s="74">
        <f t="shared" si="215"/>
        <v>49.40471821786758</v>
      </c>
      <c r="P562" s="74">
        <f t="shared" si="216"/>
        <v>0.3942836218233058</v>
      </c>
    </row>
    <row r="563" spans="2:16" ht="13.5">
      <c r="B563" s="74">
        <f t="shared" si="218"/>
        <v>40.29568364002685</v>
      </c>
      <c r="C563" s="70">
        <f t="shared" si="208"/>
        <v>59.041000000000004</v>
      </c>
      <c r="D563" s="70">
        <f t="shared" si="217"/>
        <v>87</v>
      </c>
      <c r="E563" s="74">
        <f t="shared" si="209"/>
        <v>1.0304598436699721</v>
      </c>
      <c r="F563" s="74">
        <f t="shared" si="210"/>
        <v>1.5184364492350666</v>
      </c>
      <c r="G563" s="74">
        <f t="shared" si="211"/>
        <v>90.80791011143604</v>
      </c>
      <c r="H563" s="74">
        <f t="shared" si="212"/>
        <v>7.933227588970383</v>
      </c>
      <c r="I563" s="74">
        <f aca="true" t="shared" si="221" ref="I563:I583">(0.5*$D$3*$D$9+$D$6)*$D$9/TAN(F563)</f>
        <v>7.933227588970383</v>
      </c>
      <c r="J563" s="74">
        <f aca="true" t="shared" si="222" ref="J563:J597">0.5*$J$18*N563*$D$3+$G$18</f>
        <v>5.4856666823648865</v>
      </c>
      <c r="K563" s="74">
        <f aca="true" t="shared" si="223" ref="K563:K583">0.5*$D$3*$D$8^2*(1/TAN(F563)-1/TAN($D$16))+$G$19</f>
        <v>26.861711894930572</v>
      </c>
      <c r="L563" s="74">
        <f t="shared" si="213"/>
        <v>2.106439052782634</v>
      </c>
      <c r="M563" s="74">
        <f aca="true" t="shared" si="224" ref="M563:M597">J$18/SIN(L563)*SIN(J$19)</f>
        <v>3.7090067869585464</v>
      </c>
      <c r="N563" s="74">
        <f t="shared" si="214"/>
        <v>-0.3316504474440855</v>
      </c>
      <c r="O563" s="74">
        <f t="shared" si="215"/>
        <v>48.04709403209804</v>
      </c>
      <c r="P563" s="74">
        <f t="shared" si="216"/>
        <v>0.4249577291234741</v>
      </c>
    </row>
    <row r="564" spans="2:16" ht="13.5">
      <c r="B564" s="74">
        <f t="shared" si="218"/>
        <v>39.612091177398455</v>
      </c>
      <c r="C564" s="70">
        <f t="shared" si="208"/>
        <v>59.041000000000004</v>
      </c>
      <c r="D564" s="70">
        <f t="shared" si="217"/>
        <v>88</v>
      </c>
      <c r="E564" s="74">
        <f t="shared" si="209"/>
        <v>1.0304598436699721</v>
      </c>
      <c r="F564" s="74">
        <f t="shared" si="210"/>
        <v>1.53588974175501</v>
      </c>
      <c r="G564" s="74">
        <f t="shared" si="211"/>
        <v>90.80791011143604</v>
      </c>
      <c r="H564" s="74">
        <f t="shared" si="212"/>
        <v>5.286131481813329</v>
      </c>
      <c r="I564" s="74">
        <f t="shared" si="221"/>
        <v>5.286131481813329</v>
      </c>
      <c r="J564" s="74">
        <f t="shared" si="222"/>
        <v>3.180602221976846</v>
      </c>
      <c r="K564" s="74">
        <f t="shared" si="223"/>
        <v>25.823420688572526</v>
      </c>
      <c r="L564" s="74">
        <f t="shared" si="213"/>
        <v>2.1238923453025773</v>
      </c>
      <c r="M564" s="74">
        <f t="shared" si="224"/>
        <v>3.7484051255774977</v>
      </c>
      <c r="N564" s="74">
        <f t="shared" si="214"/>
        <v>-0.4002789405393484</v>
      </c>
      <c r="O564" s="74">
        <f t="shared" si="215"/>
        <v>46.7097224283985</v>
      </c>
      <c r="P564" s="74">
        <f t="shared" si="216"/>
        <v>0.45676163334854686</v>
      </c>
    </row>
    <row r="565" spans="2:16" ht="13.5">
      <c r="B565" s="74">
        <f t="shared" si="218"/>
        <v>38.90729180134944</v>
      </c>
      <c r="C565" s="70">
        <f t="shared" si="208"/>
        <v>59.041000000000004</v>
      </c>
      <c r="D565" s="70">
        <f t="shared" si="217"/>
        <v>89</v>
      </c>
      <c r="E565" s="74">
        <f t="shared" si="209"/>
        <v>1.0304598436699721</v>
      </c>
      <c r="F565" s="74">
        <f t="shared" si="210"/>
        <v>1.5533430342749535</v>
      </c>
      <c r="G565" s="74">
        <f t="shared" si="211"/>
        <v>90.80791011143604</v>
      </c>
      <c r="H565" s="74">
        <f t="shared" si="212"/>
        <v>2.642260453508916</v>
      </c>
      <c r="I565" s="74">
        <f t="shared" si="221"/>
        <v>2.642260453508916</v>
      </c>
      <c r="J565" s="74">
        <f t="shared" si="222"/>
        <v>0.8253164850416557</v>
      </c>
      <c r="K565" s="74">
        <f t="shared" si="223"/>
        <v>24.78639448011291</v>
      </c>
      <c r="L565" s="74">
        <f t="shared" si="213"/>
        <v>2.141345637822521</v>
      </c>
      <c r="M565" s="74">
        <f t="shared" si="224"/>
        <v>3.7898162648555984</v>
      </c>
      <c r="N565" s="74">
        <f t="shared" si="214"/>
        <v>-0.47040266753803595</v>
      </c>
      <c r="O565" s="74">
        <f t="shared" si="215"/>
        <v>45.390546010656465</v>
      </c>
      <c r="P565" s="74">
        <f t="shared" si="216"/>
        <v>0.48965799148986794</v>
      </c>
    </row>
    <row r="566" spans="2:16" ht="13.5">
      <c r="B566" s="74">
        <f t="shared" si="218"/>
        <v>38.180934866738475</v>
      </c>
      <c r="C566" s="70">
        <f t="shared" si="208"/>
        <v>59.041000000000004</v>
      </c>
      <c r="D566" s="70">
        <f t="shared" si="217"/>
        <v>90</v>
      </c>
      <c r="E566" s="74">
        <f t="shared" si="209"/>
        <v>1.0304598436699721</v>
      </c>
      <c r="F566" s="74">
        <f t="shared" si="210"/>
        <v>1.5707963267948966</v>
      </c>
      <c r="G566" s="74">
        <f t="shared" si="211"/>
        <v>90.80791011143604</v>
      </c>
      <c r="H566" s="74">
        <f t="shared" si="212"/>
        <v>9.272842368089618E-15</v>
      </c>
      <c r="I566" s="74">
        <f t="shared" si="221"/>
        <v>9.272842368089618E-15</v>
      </c>
      <c r="J566" s="74">
        <f t="shared" si="222"/>
        <v>-1.5833333333333073</v>
      </c>
      <c r="K566" s="74">
        <f t="shared" si="223"/>
        <v>23.750000000000007</v>
      </c>
      <c r="L566" s="74">
        <f t="shared" si="213"/>
        <v>2.158798930342464</v>
      </c>
      <c r="M566" s="74">
        <f t="shared" si="224"/>
        <v>3.8333333333333317</v>
      </c>
      <c r="N566" s="74">
        <f t="shared" si="214"/>
        <v>-0.5421151989096857</v>
      </c>
      <c r="O566" s="74">
        <f t="shared" si="215"/>
        <v>44.08754604644605</v>
      </c>
      <c r="P566" s="74">
        <f t="shared" si="216"/>
        <v>0.5235987755982986</v>
      </c>
    </row>
    <row r="567" spans="2:16" ht="13.5">
      <c r="B567" s="74">
        <f t="shared" si="218"/>
        <v>41.5718324444326</v>
      </c>
      <c r="C567" s="70">
        <f>C566+J407</f>
        <v>60.001000000000005</v>
      </c>
      <c r="D567" s="70">
        <f t="shared" si="217"/>
        <v>60</v>
      </c>
      <c r="E567" s="74">
        <f t="shared" si="209"/>
        <v>1.0472150044891178</v>
      </c>
      <c r="F567" s="74">
        <f t="shared" si="210"/>
        <v>1.0471975511965976</v>
      </c>
      <c r="G567" s="74">
        <f t="shared" si="211"/>
        <v>87.39287437786855</v>
      </c>
      <c r="H567" s="74">
        <f t="shared" si="212"/>
        <v>56.61327536344993</v>
      </c>
      <c r="I567" s="74">
        <f t="shared" si="221"/>
        <v>87.39639699857963</v>
      </c>
      <c r="J567" s="74">
        <f t="shared" si="222"/>
        <v>56.61327536344993</v>
      </c>
      <c r="K567" s="74">
        <f t="shared" si="223"/>
        <v>58.03017223313404</v>
      </c>
      <c r="L567" s="74">
        <f t="shared" si="213"/>
        <v>1.6352001547441652</v>
      </c>
      <c r="M567" s="74">
        <f t="shared" si="224"/>
        <v>3.196152422706631</v>
      </c>
      <c r="N567" s="74">
        <f t="shared" si="214"/>
        <v>1.1905676074715958</v>
      </c>
      <c r="O567" s="74">
        <f t="shared" si="215"/>
        <v>83.14366488886522</v>
      </c>
      <c r="P567" s="74">
        <f t="shared" si="216"/>
        <v>0.35458455813834766</v>
      </c>
    </row>
    <row r="568" spans="2:16" ht="13.5">
      <c r="B568" s="74">
        <f t="shared" si="218"/>
        <v>41.90205483051978</v>
      </c>
      <c r="C568" s="70">
        <f>C567</f>
        <v>60.001000000000005</v>
      </c>
      <c r="D568" s="70">
        <f t="shared" si="217"/>
        <v>61</v>
      </c>
      <c r="E568" s="74">
        <f t="shared" si="209"/>
        <v>1.0472150044891178</v>
      </c>
      <c r="F568" s="74">
        <f t="shared" si="210"/>
        <v>1.064650843716541</v>
      </c>
      <c r="G568" s="74">
        <f t="shared" si="211"/>
        <v>87.39287437786855</v>
      </c>
      <c r="H568" s="74">
        <f t="shared" si="212"/>
        <v>54.91741842603781</v>
      </c>
      <c r="I568" s="74">
        <f t="shared" si="221"/>
        <v>83.90853266366291</v>
      </c>
      <c r="J568" s="74">
        <f t="shared" si="222"/>
        <v>54.91741842603781</v>
      </c>
      <c r="K568" s="74">
        <f t="shared" si="223"/>
        <v>56.662099930008154</v>
      </c>
      <c r="L568" s="74">
        <f t="shared" si="213"/>
        <v>1.6526534472641083</v>
      </c>
      <c r="M568" s="74">
        <f t="shared" si="224"/>
        <v>3.200241894286732</v>
      </c>
      <c r="N568" s="74">
        <f t="shared" si="214"/>
        <v>1.1400769994561701</v>
      </c>
      <c r="O568" s="74">
        <f t="shared" si="215"/>
        <v>81.35719837380474</v>
      </c>
      <c r="P568" s="74">
        <f t="shared" si="216"/>
        <v>0.3399365698652165</v>
      </c>
    </row>
    <row r="569" spans="2:16" ht="13.5">
      <c r="B569" s="74">
        <f t="shared" si="218"/>
        <v>42.19575571903397</v>
      </c>
      <c r="C569" s="70">
        <f aca="true" t="shared" si="225" ref="C569:C597">C568</f>
        <v>60.001000000000005</v>
      </c>
      <c r="D569" s="70">
        <f t="shared" si="217"/>
        <v>62</v>
      </c>
      <c r="E569" s="74">
        <f t="shared" si="209"/>
        <v>1.0472150044891178</v>
      </c>
      <c r="F569" s="74">
        <f t="shared" si="210"/>
        <v>1.0821041362364843</v>
      </c>
      <c r="G569" s="74">
        <f t="shared" si="211"/>
        <v>87.39287437786855</v>
      </c>
      <c r="H569" s="74">
        <f t="shared" si="212"/>
        <v>53.21669751699319</v>
      </c>
      <c r="I569" s="74">
        <f t="shared" si="221"/>
        <v>80.48751521775635</v>
      </c>
      <c r="J569" s="74">
        <f t="shared" si="222"/>
        <v>53.21669751699319</v>
      </c>
      <c r="K569" s="74">
        <f t="shared" si="223"/>
        <v>55.3202475049003</v>
      </c>
      <c r="L569" s="74">
        <f t="shared" si="213"/>
        <v>1.6701067397840519</v>
      </c>
      <c r="M569" s="74">
        <f t="shared" si="224"/>
        <v>3.205319466443784</v>
      </c>
      <c r="N569" s="74">
        <f t="shared" si="214"/>
        <v>1.0894415768165406</v>
      </c>
      <c r="O569" s="74">
        <f t="shared" si="215"/>
        <v>79.62676310719026</v>
      </c>
      <c r="P569" s="74">
        <f t="shared" si="216"/>
        <v>0.3269750441128731</v>
      </c>
    </row>
    <row r="570" spans="2:16" ht="13.5">
      <c r="B570" s="74">
        <f t="shared" si="218"/>
        <v>42.45399282434358</v>
      </c>
      <c r="C570" s="70">
        <f t="shared" si="225"/>
        <v>60.001000000000005</v>
      </c>
      <c r="D570" s="70">
        <f t="shared" si="217"/>
        <v>63</v>
      </c>
      <c r="E570" s="74">
        <f t="shared" si="209"/>
        <v>1.0472150044891178</v>
      </c>
      <c r="F570" s="74">
        <f t="shared" si="210"/>
        <v>1.0995574287564276</v>
      </c>
      <c r="G570" s="74">
        <f t="shared" si="211"/>
        <v>87.39287437786855</v>
      </c>
      <c r="H570" s="74">
        <f t="shared" si="212"/>
        <v>51.51005054407396</v>
      </c>
      <c r="I570" s="74">
        <f t="shared" si="221"/>
        <v>77.12941491721917</v>
      </c>
      <c r="J570" s="74">
        <f t="shared" si="222"/>
        <v>51.51005054407396</v>
      </c>
      <c r="K570" s="74">
        <f t="shared" si="223"/>
        <v>54.00307356373172</v>
      </c>
      <c r="L570" s="74">
        <f t="shared" si="213"/>
        <v>1.687560032303995</v>
      </c>
      <c r="M570" s="74">
        <f t="shared" si="224"/>
        <v>3.2113929525108333</v>
      </c>
      <c r="N570" s="74">
        <f t="shared" si="214"/>
        <v>1.0386297179684278</v>
      </c>
      <c r="O570" s="74">
        <f t="shared" si="215"/>
        <v>77.94886171383628</v>
      </c>
      <c r="P570" s="74">
        <f t="shared" si="216"/>
        <v>0.3156334844446568</v>
      </c>
    </row>
    <row r="571" spans="2:16" ht="13.5">
      <c r="B571" s="74">
        <f t="shared" si="218"/>
        <v>42.67770544584135</v>
      </c>
      <c r="C571" s="70">
        <f t="shared" si="225"/>
        <v>60.001000000000005</v>
      </c>
      <c r="D571" s="70">
        <f t="shared" si="217"/>
        <v>64</v>
      </c>
      <c r="E571" s="74">
        <f t="shared" si="209"/>
        <v>1.0472150044891178</v>
      </c>
      <c r="F571" s="74">
        <f t="shared" si="210"/>
        <v>1.117010721276371</v>
      </c>
      <c r="G571" s="74">
        <f t="shared" si="211"/>
        <v>87.39287437786855</v>
      </c>
      <c r="H571" s="74">
        <f t="shared" si="212"/>
        <v>49.7964007486329</v>
      </c>
      <c r="I571" s="74">
        <f t="shared" si="221"/>
        <v>73.83052059415728</v>
      </c>
      <c r="J571" s="74">
        <f t="shared" si="222"/>
        <v>49.7964007486329</v>
      </c>
      <c r="K571" s="74">
        <f t="shared" si="223"/>
        <v>52.70912244609802</v>
      </c>
      <c r="L571" s="74">
        <f t="shared" si="213"/>
        <v>1.7050133248239385</v>
      </c>
      <c r="M571" s="74">
        <f t="shared" si="224"/>
        <v>3.21847173736185</v>
      </c>
      <c r="N571" s="74">
        <f t="shared" si="214"/>
        <v>0.9876093646658881</v>
      </c>
      <c r="O571" s="74">
        <f t="shared" si="215"/>
        <v>76.32018428873704</v>
      </c>
      <c r="P571" s="74">
        <f t="shared" si="216"/>
        <v>0.30585179955996405</v>
      </c>
    </row>
    <row r="572" spans="2:16" ht="13.5">
      <c r="B572" s="74">
        <f t="shared" si="218"/>
        <v>42.86772096361153</v>
      </c>
      <c r="C572" s="70">
        <f t="shared" si="225"/>
        <v>60.001000000000005</v>
      </c>
      <c r="D572" s="70">
        <f t="shared" si="217"/>
        <v>65</v>
      </c>
      <c r="E572" s="74">
        <f t="shared" si="209"/>
        <v>1.0472150044891178</v>
      </c>
      <c r="F572" s="74">
        <f t="shared" si="210"/>
        <v>1.1344640137963142</v>
      </c>
      <c r="G572" s="74">
        <f t="shared" si="211"/>
        <v>87.39287437786855</v>
      </c>
      <c r="H572" s="74">
        <f t="shared" si="212"/>
        <v>48.07465394252364</v>
      </c>
      <c r="I572" s="74">
        <f t="shared" si="221"/>
        <v>70.58732175321292</v>
      </c>
      <c r="J572" s="74">
        <f t="shared" si="222"/>
        <v>48.07465394252364</v>
      </c>
      <c r="K572" s="74">
        <f t="shared" si="223"/>
        <v>51.43701720295304</v>
      </c>
      <c r="L572" s="74">
        <f t="shared" si="213"/>
        <v>1.7224666173438816</v>
      </c>
      <c r="M572" s="74">
        <f t="shared" si="224"/>
        <v>3.2265668130425462</v>
      </c>
      <c r="N572" s="74">
        <f t="shared" si="214"/>
        <v>0.9363479397359457</v>
      </c>
      <c r="O572" s="74">
        <f t="shared" si="215"/>
        <v>74.73759074958788</v>
      </c>
      <c r="P572" s="74">
        <f t="shared" si="216"/>
        <v>0.29757654816094514</v>
      </c>
    </row>
    <row r="573" spans="2:16" ht="13.5">
      <c r="B573" s="74">
        <f t="shared" si="218"/>
        <v>43.02476049350496</v>
      </c>
      <c r="C573" s="70">
        <f t="shared" si="225"/>
        <v>60.001000000000005</v>
      </c>
      <c r="D573" s="70">
        <f t="shared" si="217"/>
        <v>66</v>
      </c>
      <c r="E573" s="74">
        <f t="shared" si="209"/>
        <v>1.0472150044891178</v>
      </c>
      <c r="F573" s="74">
        <f t="shared" si="210"/>
        <v>1.1519173063162575</v>
      </c>
      <c r="G573" s="74">
        <f t="shared" si="211"/>
        <v>87.39287437786855</v>
      </c>
      <c r="H573" s="74">
        <f t="shared" si="212"/>
        <v>46.34369565210348</v>
      </c>
      <c r="I573" s="74">
        <f t="shared" si="221"/>
        <v>67.39649223857965</v>
      </c>
      <c r="J573" s="74">
        <f t="shared" si="222"/>
        <v>46.34369565210348</v>
      </c>
      <c r="K573" s="74">
        <f t="shared" si="223"/>
        <v>50.18545319019432</v>
      </c>
      <c r="L573" s="74">
        <f t="shared" si="213"/>
        <v>1.7399199098638252</v>
      </c>
      <c r="M573" s="74">
        <f t="shared" si="224"/>
        <v>3.235690820800044</v>
      </c>
      <c r="N573" s="74">
        <f t="shared" si="214"/>
        <v>0.8848122620472225</v>
      </c>
      <c r="O573" s="74">
        <f t="shared" si="215"/>
        <v>73.19809458590579</v>
      </c>
      <c r="P573" s="74">
        <f t="shared" si="216"/>
        <v>0.2907610541209843</v>
      </c>
    </row>
    <row r="574" spans="2:16" ht="13.5">
      <c r="B574" s="74">
        <f t="shared" si="218"/>
        <v>43.14944377021765</v>
      </c>
      <c r="C574" s="70">
        <f t="shared" si="225"/>
        <v>60.001000000000005</v>
      </c>
      <c r="D574" s="70">
        <f t="shared" si="217"/>
        <v>67</v>
      </c>
      <c r="E574" s="74">
        <f t="shared" si="209"/>
        <v>1.0472150044891178</v>
      </c>
      <c r="F574" s="74">
        <f t="shared" si="210"/>
        <v>1.1693705988362006</v>
      </c>
      <c r="G574" s="74">
        <f t="shared" si="211"/>
        <v>87.39287437786855</v>
      </c>
      <c r="H574" s="74">
        <f t="shared" si="212"/>
        <v>44.602388153158174</v>
      </c>
      <c r="I574" s="74">
        <f t="shared" si="221"/>
        <v>64.25487530372895</v>
      </c>
      <c r="J574" s="74">
        <f t="shared" si="222"/>
        <v>44.602388153158174</v>
      </c>
      <c r="K574" s="74">
        <f t="shared" si="223"/>
        <v>48.95319221244529</v>
      </c>
      <c r="L574" s="74">
        <f t="shared" si="213"/>
        <v>1.7573732023837683</v>
      </c>
      <c r="M574" s="74">
        <f t="shared" si="224"/>
        <v>3.2458580998131934</v>
      </c>
      <c r="N574" s="74">
        <f t="shared" si="214"/>
        <v>0.8329684582310031</v>
      </c>
      <c r="O574" s="74">
        <f t="shared" si="215"/>
        <v>71.69884783570113</v>
      </c>
      <c r="P574" s="74">
        <f t="shared" si="216"/>
        <v>0.2853654314447938</v>
      </c>
    </row>
    <row r="575" spans="2:16" ht="13.5">
      <c r="B575" s="74">
        <f t="shared" si="218"/>
        <v>43.24229331665923</v>
      </c>
      <c r="C575" s="70">
        <f t="shared" si="225"/>
        <v>60.001000000000005</v>
      </c>
      <c r="D575" s="70">
        <f t="shared" si="217"/>
        <v>68</v>
      </c>
      <c r="E575" s="74">
        <f t="shared" si="209"/>
        <v>1.0472150044891178</v>
      </c>
      <c r="F575" s="74">
        <f t="shared" si="210"/>
        <v>1.1868238913561442</v>
      </c>
      <c r="G575" s="74">
        <f t="shared" si="211"/>
        <v>87.39287437786855</v>
      </c>
      <c r="H575" s="74">
        <f t="shared" si="212"/>
        <v>42.84956737955771</v>
      </c>
      <c r="I575" s="74">
        <f t="shared" si="221"/>
        <v>61.15946993579685</v>
      </c>
      <c r="J575" s="74">
        <f t="shared" si="222"/>
        <v>42.84956737955771</v>
      </c>
      <c r="K575" s="74">
        <f t="shared" si="223"/>
        <v>47.739057158962424</v>
      </c>
      <c r="L575" s="74">
        <f t="shared" si="213"/>
        <v>1.7748264949037118</v>
      </c>
      <c r="M575" s="74">
        <f t="shared" si="224"/>
        <v>3.2570847429771757</v>
      </c>
      <c r="N575" s="74">
        <f t="shared" si="214"/>
        <v>0.7807818706428962</v>
      </c>
      <c r="O575" s="74">
        <f t="shared" si="215"/>
        <v>70.23712713839357</v>
      </c>
      <c r="P575" s="74">
        <f t="shared" si="216"/>
        <v>0.28135654952939787</v>
      </c>
    </row>
    <row r="576" spans="2:16" ht="13.5">
      <c r="B576" s="74">
        <f t="shared" si="218"/>
        <v>43.30373794869275</v>
      </c>
      <c r="C576" s="70">
        <f t="shared" si="225"/>
        <v>60.001000000000005</v>
      </c>
      <c r="D576" s="70">
        <f t="shared" si="217"/>
        <v>69</v>
      </c>
      <c r="E576" s="74">
        <f t="shared" si="209"/>
        <v>1.0472150044891178</v>
      </c>
      <c r="F576" s="74">
        <f t="shared" si="210"/>
        <v>1.2042771838760873</v>
      </c>
      <c r="G576" s="74">
        <f t="shared" si="211"/>
        <v>87.39287437786855</v>
      </c>
      <c r="H576" s="74">
        <f t="shared" si="212"/>
        <v>41.08403968726031</v>
      </c>
      <c r="I576" s="74">
        <f t="shared" si="221"/>
        <v>58.107418303486085</v>
      </c>
      <c r="J576" s="74">
        <f t="shared" si="222"/>
        <v>41.08403968726031</v>
      </c>
      <c r="K576" s="74">
        <f t="shared" si="223"/>
        <v>46.54192708022782</v>
      </c>
      <c r="L576" s="74">
        <f t="shared" si="213"/>
        <v>1.792279787423655</v>
      </c>
      <c r="M576" s="74">
        <f t="shared" si="224"/>
        <v>3.2693886601519666</v>
      </c>
      <c r="N576" s="74">
        <f t="shared" si="214"/>
        <v>0.7282169610177962</v>
      </c>
      <c r="O576" s="74">
        <f t="shared" si="215"/>
        <v>68.81032072781417</v>
      </c>
      <c r="P576" s="74">
        <f t="shared" si="216"/>
        <v>0.2787079617274969</v>
      </c>
    </row>
    <row r="577" spans="2:16" ht="13.5">
      <c r="B577" s="74">
        <f t="shared" si="218"/>
        <v>43.33411565603829</v>
      </c>
      <c r="C577" s="70">
        <f t="shared" si="225"/>
        <v>60.001000000000005</v>
      </c>
      <c r="D577" s="70">
        <f t="shared" si="217"/>
        <v>70</v>
      </c>
      <c r="E577" s="74">
        <f t="shared" si="209"/>
        <v>1.0472150044891178</v>
      </c>
      <c r="F577" s="74">
        <f t="shared" si="210"/>
        <v>1.2217304763960306</v>
      </c>
      <c r="G577" s="74">
        <f t="shared" si="211"/>
        <v>87.39287437786855</v>
      </c>
      <c r="H577" s="74">
        <f t="shared" si="212"/>
        <v>39.30457845389725</v>
      </c>
      <c r="I577" s="74">
        <f t="shared" si="221"/>
        <v>55.09599421204639</v>
      </c>
      <c r="J577" s="74">
        <f t="shared" si="222"/>
        <v>39.30457845389725</v>
      </c>
      <c r="K577" s="74">
        <f t="shared" si="223"/>
        <v>45.360732659555765</v>
      </c>
      <c r="L577" s="74">
        <f t="shared" si="213"/>
        <v>1.809733079943598</v>
      </c>
      <c r="M577" s="74">
        <f t="shared" si="224"/>
        <v>3.2827896493451227</v>
      </c>
      <c r="N577" s="74">
        <f t="shared" si="214"/>
        <v>0.6752372092296027</v>
      </c>
      <c r="O577" s="74">
        <f t="shared" si="215"/>
        <v>67.41591624202361</v>
      </c>
      <c r="P577" s="74">
        <f t="shared" si="216"/>
        <v>0.27739981400017455</v>
      </c>
    </row>
    <row r="578" spans="2:16" ht="13.5">
      <c r="B578" s="74">
        <f t="shared" si="218"/>
        <v>43.33367589259034</v>
      </c>
      <c r="C578" s="70">
        <f t="shared" si="225"/>
        <v>60.001000000000005</v>
      </c>
      <c r="D578" s="70">
        <f t="shared" si="217"/>
        <v>71</v>
      </c>
      <c r="E578" s="74">
        <f t="shared" si="209"/>
        <v>1.0472150044891178</v>
      </c>
      <c r="F578" s="74">
        <f t="shared" si="210"/>
        <v>1.239183768915974</v>
      </c>
      <c r="G578" s="74">
        <f t="shared" si="211"/>
        <v>87.39287437786855</v>
      </c>
      <c r="H578" s="74">
        <f t="shared" si="212"/>
        <v>37.50992049257642</v>
      </c>
      <c r="I578" s="74">
        <f t="shared" si="221"/>
        <v>52.12259246172309</v>
      </c>
      <c r="J578" s="74">
        <f t="shared" si="222"/>
        <v>37.50992049257642</v>
      </c>
      <c r="K578" s="74">
        <f t="shared" si="223"/>
        <v>44.19445203907388</v>
      </c>
      <c r="L578" s="74">
        <f t="shared" si="213"/>
        <v>1.8271863724635415</v>
      </c>
      <c r="M578" s="74">
        <f t="shared" si="224"/>
        <v>3.297309476365921</v>
      </c>
      <c r="N578" s="74">
        <f t="shared" si="214"/>
        <v>0.6218050065196917</v>
      </c>
      <c r="O578" s="74">
        <f t="shared" si="215"/>
        <v>66.05148923759016</v>
      </c>
      <c r="P578" s="74">
        <f t="shared" si="216"/>
        <v>0.27741874530227173</v>
      </c>
    </row>
    <row r="579" spans="2:16" ht="13.5">
      <c r="B579" s="74">
        <f t="shared" si="218"/>
        <v>43.30258130246025</v>
      </c>
      <c r="C579" s="70">
        <f t="shared" si="225"/>
        <v>60.001000000000005</v>
      </c>
      <c r="D579" s="70">
        <f t="shared" si="217"/>
        <v>72</v>
      </c>
      <c r="E579" s="74">
        <f t="shared" si="209"/>
        <v>1.0472150044891178</v>
      </c>
      <c r="F579" s="74">
        <f t="shared" si="210"/>
        <v>1.2566370614359172</v>
      </c>
      <c r="G579" s="74">
        <f t="shared" si="211"/>
        <v>87.39287437786855</v>
      </c>
      <c r="H579" s="74">
        <f t="shared" si="212"/>
        <v>35.698762256707205</v>
      </c>
      <c r="I579" s="74">
        <f t="shared" si="221"/>
        <v>49.18471901725621</v>
      </c>
      <c r="J579" s="74">
        <f t="shared" si="222"/>
        <v>35.698762256707205</v>
      </c>
      <c r="K579" s="74">
        <f t="shared" si="223"/>
        <v>43.042106963828815</v>
      </c>
      <c r="L579" s="74">
        <f t="shared" si="213"/>
        <v>1.8446396649834846</v>
      </c>
      <c r="M579" s="74">
        <f t="shared" si="224"/>
        <v>3.3129719635610875</v>
      </c>
      <c r="N579" s="74">
        <f t="shared" si="214"/>
        <v>0.5678815425034818</v>
      </c>
      <c r="O579" s="74">
        <f t="shared" si="215"/>
        <v>64.7146923051325</v>
      </c>
      <c r="P579" s="74">
        <f t="shared" si="216"/>
        <v>0.2787577870377117</v>
      </c>
    </row>
    <row r="580" spans="2:16" ht="13.5">
      <c r="B580" s="74">
        <f t="shared" si="218"/>
        <v>43.24090890158644</v>
      </c>
      <c r="C580" s="70">
        <f t="shared" si="225"/>
        <v>60.001000000000005</v>
      </c>
      <c r="D580" s="70">
        <f t="shared" si="217"/>
        <v>73</v>
      </c>
      <c r="E580" s="74">
        <f t="shared" si="209"/>
        <v>1.0472150044891178</v>
      </c>
      <c r="F580" s="74">
        <f t="shared" si="210"/>
        <v>1.2740903539558606</v>
      </c>
      <c r="G580" s="74">
        <f t="shared" si="211"/>
        <v>87.39287437786855</v>
      </c>
      <c r="H580" s="74">
        <f t="shared" si="212"/>
        <v>33.86975581055276</v>
      </c>
      <c r="I580" s="74">
        <f t="shared" si="221"/>
        <v>46.27998190580472</v>
      </c>
      <c r="J580" s="74">
        <f t="shared" si="222"/>
        <v>33.86975581055276</v>
      </c>
      <c r="K580" s="74">
        <f t="shared" si="223"/>
        <v>41.90275921160796</v>
      </c>
      <c r="L580" s="74">
        <f t="shared" si="213"/>
        <v>1.8620929575034282</v>
      </c>
      <c r="M580" s="74">
        <f t="shared" si="224"/>
        <v>3.3298030883232532</v>
      </c>
      <c r="N580" s="74">
        <f t="shared" si="214"/>
        <v>0.5134266852020202</v>
      </c>
      <c r="O580" s="74">
        <f t="shared" si="215"/>
        <v>63.40324469053537</v>
      </c>
      <c r="P580" s="74">
        <f t="shared" si="216"/>
        <v>0.2814162652268716</v>
      </c>
    </row>
    <row r="581" spans="2:16" ht="13.5">
      <c r="B581" s="74">
        <f t="shared" si="218"/>
        <v>43.14865072864096</v>
      </c>
      <c r="C581" s="70">
        <f t="shared" si="225"/>
        <v>60.001000000000005</v>
      </c>
      <c r="D581" s="70">
        <f t="shared" si="217"/>
        <v>74</v>
      </c>
      <c r="E581" s="74">
        <f t="shared" si="209"/>
        <v>1.0472150044891178</v>
      </c>
      <c r="F581" s="74">
        <f t="shared" si="210"/>
        <v>1.2915436464758039</v>
      </c>
      <c r="G581" s="74">
        <f t="shared" si="211"/>
        <v>87.39287437786855</v>
      </c>
      <c r="H581" s="74">
        <f t="shared" si="212"/>
        <v>32.02150453781869</v>
      </c>
      <c r="I581" s="74">
        <f t="shared" si="221"/>
        <v>43.40608276923955</v>
      </c>
      <c r="J581" s="74">
        <f t="shared" si="222"/>
        <v>32.02150453781869</v>
      </c>
      <c r="K581" s="74">
        <f t="shared" si="223"/>
        <v>40.77550727942922</v>
      </c>
      <c r="L581" s="74">
        <f t="shared" si="213"/>
        <v>1.8795462500233713</v>
      </c>
      <c r="M581" s="74">
        <f t="shared" si="224"/>
        <v>3.347831092152982</v>
      </c>
      <c r="N581" s="74">
        <f t="shared" si="214"/>
        <v>0.4583988532741495</v>
      </c>
      <c r="O581" s="74">
        <f t="shared" si="215"/>
        <v>62.114922332441445</v>
      </c>
      <c r="P581" s="74">
        <f t="shared" si="216"/>
        <v>0.2853997057308949</v>
      </c>
    </row>
    <row r="582" spans="2:16" ht="13.5">
      <c r="B582" s="74">
        <f t="shared" si="218"/>
        <v>43.025713973091</v>
      </c>
      <c r="C582" s="70">
        <f t="shared" si="225"/>
        <v>60.001000000000005</v>
      </c>
      <c r="D582" s="70">
        <f t="shared" si="217"/>
        <v>75</v>
      </c>
      <c r="E582" s="74">
        <f t="shared" si="209"/>
        <v>1.0472150044891178</v>
      </c>
      <c r="F582" s="74">
        <f t="shared" si="210"/>
        <v>1.3089969389957472</v>
      </c>
      <c r="G582" s="74">
        <f t="shared" si="211"/>
        <v>87.39287437786855</v>
      </c>
      <c r="H582" s="74">
        <f t="shared" si="212"/>
        <v>30.152558557855457</v>
      </c>
      <c r="I582" s="74">
        <f t="shared" si="221"/>
        <v>40.560809004261195</v>
      </c>
      <c r="J582" s="74">
        <f t="shared" si="222"/>
        <v>30.152558557855457</v>
      </c>
      <c r="K582" s="74">
        <f t="shared" si="223"/>
        <v>39.65948330059791</v>
      </c>
      <c r="L582" s="74">
        <f t="shared" si="213"/>
        <v>1.8969995425433148</v>
      </c>
      <c r="M582" s="74">
        <f t="shared" si="224"/>
        <v>3.3670866011551928</v>
      </c>
      <c r="N582" s="74">
        <f t="shared" si="214"/>
        <v>0.4027548795434824</v>
      </c>
      <c r="O582" s="74">
        <f t="shared" si="215"/>
        <v>60.84754823153087</v>
      </c>
      <c r="P582" s="74">
        <f t="shared" si="216"/>
        <v>0.29071973978174365</v>
      </c>
    </row>
    <row r="583" spans="2:16" ht="13.5">
      <c r="B583" s="74">
        <f t="shared" si="218"/>
        <v>42.87192058254665</v>
      </c>
      <c r="C583" s="70">
        <f t="shared" si="225"/>
        <v>60.001000000000005</v>
      </c>
      <c r="D583" s="70">
        <f t="shared" si="217"/>
        <v>76</v>
      </c>
      <c r="E583" s="74">
        <f t="shared" si="209"/>
        <v>1.0472150044891178</v>
      </c>
      <c r="F583" s="74">
        <f t="shared" si="210"/>
        <v>1.3264502315156903</v>
      </c>
      <c r="G583" s="74">
        <f t="shared" si="211"/>
        <v>87.39287437786855</v>
      </c>
      <c r="H583" s="74">
        <f t="shared" si="212"/>
        <v>28.2614098159386</v>
      </c>
      <c r="I583" s="74">
        <f t="shared" si="221"/>
        <v>37.7420264303865</v>
      </c>
      <c r="J583" s="74">
        <f t="shared" si="222"/>
        <v>28.2614098159386</v>
      </c>
      <c r="K583" s="74">
        <f t="shared" si="223"/>
        <v>38.55385016881386</v>
      </c>
      <c r="L583" s="74">
        <f t="shared" si="213"/>
        <v>1.914452835063258</v>
      </c>
      <c r="M583" s="74">
        <f t="shared" si="224"/>
        <v>3.3876027589624966</v>
      </c>
      <c r="N583" s="74">
        <f t="shared" si="214"/>
        <v>0.34644986482172163</v>
      </c>
      <c r="O583" s="74">
        <f t="shared" si="215"/>
        <v>59.59898307081492</v>
      </c>
      <c r="P583" s="74">
        <f t="shared" si="216"/>
        <v>0.2973940039905558</v>
      </c>
    </row>
    <row r="584" spans="2:16" ht="13.5">
      <c r="B584" s="74">
        <f t="shared" si="218"/>
        <v>42.687006345840686</v>
      </c>
      <c r="C584" s="70">
        <f t="shared" si="225"/>
        <v>60.001000000000005</v>
      </c>
      <c r="D584" s="70">
        <f t="shared" si="217"/>
        <v>77</v>
      </c>
      <c r="E584" s="74">
        <f t="shared" si="209"/>
        <v>1.0472150044891178</v>
      </c>
      <c r="F584" s="74">
        <f t="shared" si="210"/>
        <v>1.3439035240356338</v>
      </c>
      <c r="G584" s="74">
        <f t="shared" si="211"/>
        <v>87.39287437786855</v>
      </c>
      <c r="H584" s="74">
        <f t="shared" si="212"/>
        <v>26.34648681054474</v>
      </c>
      <c r="I584" s="74">
        <f aca="true" t="shared" si="226" ref="I584:I597">(0.5*$D$3*$D$9+$D$6)*$D$9/TAN(F584)</f>
        <v>34.9476724316321</v>
      </c>
      <c r="J584" s="74">
        <f t="shared" si="222"/>
        <v>26.34648681054474</v>
      </c>
      <c r="K584" s="74">
        <f aca="true" t="shared" si="227" ref="K584:K597">0.5*$D$3*$D$8^2*(1/TAN(F584)-1/TAN($D$16))+$G$19</f>
        <v>37.4577988480803</v>
      </c>
      <c r="L584" s="74">
        <f t="shared" si="213"/>
        <v>1.9319061275832015</v>
      </c>
      <c r="M584" s="74">
        <f t="shared" si="224"/>
        <v>3.409415373203253</v>
      </c>
      <c r="N584" s="74">
        <f t="shared" si="214"/>
        <v>0.2894370209242849</v>
      </c>
      <c r="O584" s="74">
        <f t="shared" si="215"/>
        <v>58.36711600875797</v>
      </c>
      <c r="P584" s="74">
        <f t="shared" si="216"/>
        <v>0.3054460257841965</v>
      </c>
    </row>
    <row r="585" spans="2:16" ht="13.5">
      <c r="B585" s="74">
        <f t="shared" si="218"/>
        <v>42.47061944254788</v>
      </c>
      <c r="C585" s="70">
        <f t="shared" si="225"/>
        <v>60.001000000000005</v>
      </c>
      <c r="D585" s="70">
        <f t="shared" si="217"/>
        <v>78</v>
      </c>
      <c r="E585" s="74">
        <f t="shared" si="209"/>
        <v>1.0472150044891178</v>
      </c>
      <c r="F585" s="74">
        <f t="shared" si="210"/>
        <v>1.361356816555577</v>
      </c>
      <c r="G585" s="74">
        <f t="shared" si="211"/>
        <v>87.39287437786855</v>
      </c>
      <c r="H585" s="74">
        <f t="shared" si="212"/>
        <v>24.40614891650218</v>
      </c>
      <c r="I585" s="74">
        <f t="shared" si="226"/>
        <v>32.17574952279962</v>
      </c>
      <c r="J585" s="74">
        <f t="shared" si="222"/>
        <v>24.40614891650218</v>
      </c>
      <c r="K585" s="74">
        <f t="shared" si="227"/>
        <v>36.370545849157565</v>
      </c>
      <c r="L585" s="74">
        <f t="shared" si="213"/>
        <v>1.9493594201031446</v>
      </c>
      <c r="M585" s="74">
        <f t="shared" si="224"/>
        <v>3.4325630767730444</v>
      </c>
      <c r="N585" s="74">
        <f t="shared" si="214"/>
        <v>0.23166750165393885</v>
      </c>
      <c r="O585" s="74">
        <f t="shared" si="215"/>
        <v>57.149855568549334</v>
      </c>
      <c r="P585" s="74">
        <f t="shared" si="216"/>
        <v>0.31490508170031306</v>
      </c>
    </row>
    <row r="586" spans="2:16" ht="13.5">
      <c r="B586" s="74">
        <f t="shared" si="218"/>
        <v>42.222318443757025</v>
      </c>
      <c r="C586" s="70">
        <f t="shared" si="225"/>
        <v>60.001000000000005</v>
      </c>
      <c r="D586" s="70">
        <f t="shared" si="217"/>
        <v>79</v>
      </c>
      <c r="E586" s="74">
        <f t="shared" si="209"/>
        <v>1.0472150044891178</v>
      </c>
      <c r="F586" s="74">
        <f t="shared" si="210"/>
        <v>1.3788101090755203</v>
      </c>
      <c r="G586" s="74">
        <f t="shared" si="211"/>
        <v>87.39287437786855</v>
      </c>
      <c r="H586" s="74">
        <f t="shared" si="212"/>
        <v>22.438680258289008</v>
      </c>
      <c r="I586" s="74">
        <f t="shared" si="226"/>
        <v>29.424319295722153</v>
      </c>
      <c r="J586" s="74">
        <f t="shared" si="222"/>
        <v>22.438680258289008</v>
      </c>
      <c r="K586" s="74">
        <f t="shared" si="227"/>
        <v>35.29133085505204</v>
      </c>
      <c r="L586" s="74">
        <f t="shared" si="213"/>
        <v>1.9668127126230877</v>
      </c>
      <c r="M586" s="74">
        <f t="shared" si="224"/>
        <v>3.4570875053272205</v>
      </c>
      <c r="N586" s="74">
        <f t="shared" si="214"/>
        <v>0.17309022039101127</v>
      </c>
      <c r="O586" s="74">
        <f t="shared" si="215"/>
        <v>55.94512054728922</v>
      </c>
      <c r="P586" s="74">
        <f t="shared" si="216"/>
        <v>0.3258060120244075</v>
      </c>
    </row>
    <row r="587" spans="2:16" ht="13.5">
      <c r="B587" s="74">
        <f t="shared" si="218"/>
        <v>41.94156974275984</v>
      </c>
      <c r="C587" s="70">
        <f t="shared" si="225"/>
        <v>60.001000000000005</v>
      </c>
      <c r="D587" s="70">
        <f t="shared" si="217"/>
        <v>80</v>
      </c>
      <c r="E587" s="74">
        <f t="shared" si="209"/>
        <v>1.0472150044891178</v>
      </c>
      <c r="F587" s="74">
        <f t="shared" si="210"/>
        <v>1.3962634015954636</v>
      </c>
      <c r="G587" s="74">
        <f t="shared" si="211"/>
        <v>87.39287437786855</v>
      </c>
      <c r="H587" s="74">
        <f t="shared" si="212"/>
        <v>20.442283082501756</v>
      </c>
      <c r="I587" s="74">
        <f t="shared" si="226"/>
        <v>26.691496704743898</v>
      </c>
      <c r="J587" s="74">
        <f t="shared" si="222"/>
        <v>20.442283082501756</v>
      </c>
      <c r="K587" s="74">
        <f t="shared" si="227"/>
        <v>34.21941447956511</v>
      </c>
      <c r="L587" s="74">
        <f t="shared" si="213"/>
        <v>1.9842660051430312</v>
      </c>
      <c r="M587" s="74">
        <f t="shared" si="224"/>
        <v>3.483033492591896</v>
      </c>
      <c r="N587" s="74">
        <f t="shared" si="214"/>
        <v>0.1136516527724497</v>
      </c>
      <c r="O587" s="74">
        <f t="shared" si="215"/>
        <v>54.75083086823684</v>
      </c>
      <c r="P587" s="74">
        <f t="shared" si="216"/>
        <v>0.3381889707777612</v>
      </c>
    </row>
    <row r="588" spans="2:16" ht="13.5">
      <c r="B588" s="74">
        <f t="shared" si="218"/>
        <v>41.62774438780482</v>
      </c>
      <c r="C588" s="70">
        <f t="shared" si="225"/>
        <v>60.001000000000005</v>
      </c>
      <c r="D588" s="70">
        <f t="shared" si="217"/>
        <v>81</v>
      </c>
      <c r="E588" s="74">
        <f t="shared" si="209"/>
        <v>1.0472150044891178</v>
      </c>
      <c r="F588" s="74">
        <f t="shared" si="210"/>
        <v>1.413716694115407</v>
      </c>
      <c r="G588" s="74">
        <f t="shared" si="211"/>
        <v>87.39287437786855</v>
      </c>
      <c r="H588" s="74">
        <f t="shared" si="212"/>
        <v>18.415070572518374</v>
      </c>
      <c r="I588" s="74">
        <f t="shared" si="226"/>
        <v>23.97544465412669</v>
      </c>
      <c r="J588" s="74">
        <f t="shared" si="222"/>
        <v>18.415070572518374</v>
      </c>
      <c r="K588" s="74">
        <f t="shared" si="227"/>
        <v>33.15407614426935</v>
      </c>
      <c r="L588" s="74">
        <f t="shared" si="213"/>
        <v>2.0017192976629743</v>
      </c>
      <c r="M588" s="74">
        <f t="shared" si="224"/>
        <v>3.510449285294637</v>
      </c>
      <c r="N588" s="74">
        <f t="shared" si="214"/>
        <v>0.053295622763378</v>
      </c>
      <c r="O588" s="74">
        <f t="shared" si="215"/>
        <v>53.56489829756346</v>
      </c>
      <c r="P588" s="74">
        <f t="shared" si="216"/>
        <v>0.35209908500894654</v>
      </c>
    </row>
    <row r="589" spans="2:16" ht="13.5">
      <c r="B589" s="74">
        <f t="shared" si="218"/>
        <v>43.23745130572078</v>
      </c>
      <c r="C589" s="70">
        <f t="shared" si="225"/>
        <v>60.001000000000005</v>
      </c>
      <c r="D589" s="70">
        <f t="shared" si="217"/>
        <v>82</v>
      </c>
      <c r="E589" s="74">
        <f t="shared" si="209"/>
        <v>1.0472150044891178</v>
      </c>
      <c r="F589" s="74">
        <f t="shared" si="210"/>
        <v>1.43116998663535</v>
      </c>
      <c r="G589" s="74">
        <f t="shared" si="211"/>
        <v>87.39287437786855</v>
      </c>
      <c r="H589" s="74">
        <f t="shared" si="212"/>
        <v>21.274368853074545</v>
      </c>
      <c r="I589" s="74">
        <f t="shared" si="226"/>
        <v>21.274368853074545</v>
      </c>
      <c r="J589" s="74">
        <f t="shared" si="222"/>
        <v>16.355059041525283</v>
      </c>
      <c r="K589" s="74">
        <f t="shared" si="227"/>
        <v>32.09461206045451</v>
      </c>
      <c r="L589" s="74">
        <f t="shared" si="213"/>
        <v>2.0191725901829174</v>
      </c>
      <c r="M589" s="74">
        <f t="shared" si="224"/>
        <v>3.539386779747792</v>
      </c>
      <c r="N589" s="74">
        <f t="shared" si="214"/>
        <v>-0.008036929779261789</v>
      </c>
      <c r="O589" s="74">
        <f t="shared" si="215"/>
        <v>54.86911328027334</v>
      </c>
      <c r="P589" s="74">
        <f t="shared" si="216"/>
        <v>0.2815654137052347</v>
      </c>
    </row>
    <row r="590" spans="2:16" ht="13.5">
      <c r="B590" s="74">
        <f t="shared" si="218"/>
        <v>42.63846024983878</v>
      </c>
      <c r="C590" s="70">
        <f t="shared" si="225"/>
        <v>60.001000000000005</v>
      </c>
      <c r="D590" s="70">
        <f t="shared" si="217"/>
        <v>83</v>
      </c>
      <c r="E590" s="74">
        <f t="shared" si="209"/>
        <v>1.0472150044891178</v>
      </c>
      <c r="F590" s="74">
        <f t="shared" si="210"/>
        <v>1.4486232791552935</v>
      </c>
      <c r="G590" s="74">
        <f t="shared" si="211"/>
        <v>87.39287437786855</v>
      </c>
      <c r="H590" s="74">
        <f t="shared" si="212"/>
        <v>18.586512906677186</v>
      </c>
      <c r="I590" s="74">
        <f t="shared" si="226"/>
        <v>18.586512906677186</v>
      </c>
      <c r="J590" s="74">
        <f t="shared" si="222"/>
        <v>14.26015943222883</v>
      </c>
      <c r="K590" s="74">
        <f t="shared" si="227"/>
        <v>31.040333303609955</v>
      </c>
      <c r="L590" s="74">
        <f t="shared" si="213"/>
        <v>2.036625882702861</v>
      </c>
      <c r="M590" s="74">
        <f t="shared" si="224"/>
        <v>3.569901782381449</v>
      </c>
      <c r="N590" s="74">
        <f t="shared" si="214"/>
        <v>-0.0704082021850964</v>
      </c>
      <c r="O590" s="74">
        <f t="shared" si="215"/>
        <v>53.38913648769995</v>
      </c>
      <c r="P590" s="74">
        <f t="shared" si="216"/>
        <v>0.3075647653096693</v>
      </c>
    </row>
    <row r="591" spans="2:16" ht="13.5">
      <c r="B591" s="74">
        <f t="shared" si="218"/>
        <v>42.01831992297434</v>
      </c>
      <c r="C591" s="70">
        <f t="shared" si="225"/>
        <v>60.001000000000005</v>
      </c>
      <c r="D591" s="70">
        <f t="shared" si="217"/>
        <v>84</v>
      </c>
      <c r="E591" s="74">
        <f t="shared" si="209"/>
        <v>1.0472150044891178</v>
      </c>
      <c r="F591" s="74">
        <f t="shared" si="210"/>
        <v>1.4660765716752369</v>
      </c>
      <c r="G591" s="74">
        <f t="shared" si="211"/>
        <v>87.39287437786855</v>
      </c>
      <c r="H591" s="74">
        <f t="shared" si="212"/>
        <v>15.910153613341771</v>
      </c>
      <c r="I591" s="74">
        <f t="shared" si="226"/>
        <v>15.910153613341771</v>
      </c>
      <c r="J591" s="74">
        <f t="shared" si="222"/>
        <v>12.128168042573405</v>
      </c>
      <c r="K591" s="74">
        <f t="shared" si="227"/>
        <v>29.990563968899536</v>
      </c>
      <c r="L591" s="74">
        <f t="shared" si="213"/>
        <v>2.0540791752228045</v>
      </c>
      <c r="M591" s="74">
        <f t="shared" si="224"/>
        <v>3.602054296824678</v>
      </c>
      <c r="N591" s="74">
        <f t="shared" si="214"/>
        <v>-0.1338838050927462</v>
      </c>
      <c r="O591" s="74">
        <f t="shared" si="215"/>
        <v>51.93749972513001</v>
      </c>
      <c r="P591" s="74">
        <f t="shared" si="216"/>
        <v>0.33479787329359767</v>
      </c>
    </row>
    <row r="592" spans="2:16" ht="13.5">
      <c r="B592" s="74">
        <f t="shared" si="218"/>
        <v>41.37692016163412</v>
      </c>
      <c r="C592" s="70">
        <f t="shared" si="225"/>
        <v>60.001000000000005</v>
      </c>
      <c r="D592" s="70">
        <f t="shared" si="217"/>
        <v>85</v>
      </c>
      <c r="E592" s="74">
        <f t="shared" si="209"/>
        <v>1.0472150044891178</v>
      </c>
      <c r="F592" s="74">
        <f t="shared" si="210"/>
        <v>1.4835298641951802</v>
      </c>
      <c r="G592" s="74">
        <f t="shared" si="211"/>
        <v>87.39287437786855</v>
      </c>
      <c r="H592" s="74">
        <f t="shared" si="212"/>
        <v>13.24359644123674</v>
      </c>
      <c r="I592" s="74">
        <f t="shared" si="226"/>
        <v>13.24359644123674</v>
      </c>
      <c r="J592" s="74">
        <f t="shared" si="222"/>
        <v>9.956756386451493</v>
      </c>
      <c r="K592" s="74">
        <f t="shared" si="227"/>
        <v>28.944639396851734</v>
      </c>
      <c r="L592" s="74">
        <f t="shared" si="213"/>
        <v>2.0715324677427476</v>
      </c>
      <c r="M592" s="74">
        <f t="shared" si="224"/>
        <v>3.6359088404790922</v>
      </c>
      <c r="N592" s="74">
        <f t="shared" si="214"/>
        <v>-0.1985330643260647</v>
      </c>
      <c r="O592" s="74">
        <f t="shared" si="215"/>
        <v>50.51189269453449</v>
      </c>
      <c r="P592" s="74">
        <f t="shared" si="216"/>
        <v>0.36326538045131207</v>
      </c>
    </row>
    <row r="593" spans="2:16" ht="13.5">
      <c r="B593" s="74">
        <f t="shared" si="218"/>
        <v>40.714096193737376</v>
      </c>
      <c r="C593" s="70">
        <f t="shared" si="225"/>
        <v>60.001000000000005</v>
      </c>
      <c r="D593" s="70">
        <f t="shared" si="217"/>
        <v>86</v>
      </c>
      <c r="E593" s="74">
        <f t="shared" si="209"/>
        <v>1.0472150044891178</v>
      </c>
      <c r="F593" s="74">
        <f t="shared" si="210"/>
        <v>1.5009831567151233</v>
      </c>
      <c r="G593" s="74">
        <f t="shared" si="211"/>
        <v>87.39287437786855</v>
      </c>
      <c r="H593" s="74">
        <f t="shared" si="212"/>
        <v>10.585171157948913</v>
      </c>
      <c r="I593" s="74">
        <f t="shared" si="226"/>
        <v>10.585171157948913</v>
      </c>
      <c r="J593" s="74">
        <f t="shared" si="222"/>
        <v>7.743460086500027</v>
      </c>
      <c r="K593" s="74">
        <f t="shared" si="227"/>
        <v>27.90190445914594</v>
      </c>
      <c r="L593" s="74">
        <f t="shared" si="213"/>
        <v>2.0889857602626907</v>
      </c>
      <c r="M593" s="74">
        <f t="shared" si="224"/>
        <v>3.6715347939252476</v>
      </c>
      <c r="N593" s="74">
        <f t="shared" si="214"/>
        <v>-0.26442935158799213</v>
      </c>
      <c r="O593" s="74">
        <f t="shared" si="215"/>
        <v>49.11007358600057</v>
      </c>
      <c r="P593" s="74">
        <f t="shared" si="216"/>
        <v>0.392961166027542</v>
      </c>
    </row>
    <row r="594" spans="2:16" ht="13.5">
      <c r="B594" s="74">
        <f t="shared" si="218"/>
        <v>40.02962909072311</v>
      </c>
      <c r="C594" s="70">
        <f t="shared" si="225"/>
        <v>60.001000000000005</v>
      </c>
      <c r="D594" s="70">
        <f t="shared" si="217"/>
        <v>87</v>
      </c>
      <c r="E594" s="74">
        <f t="shared" si="209"/>
        <v>1.0472150044891178</v>
      </c>
      <c r="F594" s="74">
        <f t="shared" si="210"/>
        <v>1.5184364492350666</v>
      </c>
      <c r="G594" s="74">
        <f t="shared" si="211"/>
        <v>87.39287437786855</v>
      </c>
      <c r="H594" s="74">
        <f t="shared" si="212"/>
        <v>7.933227588970383</v>
      </c>
      <c r="I594" s="74">
        <f t="shared" si="226"/>
        <v>7.933227588970383</v>
      </c>
      <c r="J594" s="74">
        <f t="shared" si="222"/>
        <v>5.4856666823648865</v>
      </c>
      <c r="K594" s="74">
        <f t="shared" si="227"/>
        <v>26.861711894930572</v>
      </c>
      <c r="L594" s="74">
        <f t="shared" si="213"/>
        <v>2.106439052782634</v>
      </c>
      <c r="M594" s="74">
        <f t="shared" si="224"/>
        <v>3.7090067869585464</v>
      </c>
      <c r="N594" s="74">
        <f t="shared" si="214"/>
        <v>-0.3316504474440855</v>
      </c>
      <c r="O594" s="74">
        <f t="shared" si="215"/>
        <v>47.729860353616246</v>
      </c>
      <c r="P594" s="74">
        <f t="shared" si="216"/>
        <v>0.4238710929873347</v>
      </c>
    </row>
    <row r="595" spans="2:16" ht="13.5">
      <c r="B595" s="74">
        <f t="shared" si="218"/>
        <v>39.32324592516932</v>
      </c>
      <c r="C595" s="70">
        <f t="shared" si="225"/>
        <v>60.001000000000005</v>
      </c>
      <c r="D595" s="70">
        <f t="shared" si="217"/>
        <v>88</v>
      </c>
      <c r="E595" s="74">
        <f t="shared" si="209"/>
        <v>1.0472150044891178</v>
      </c>
      <c r="F595" s="74">
        <f t="shared" si="210"/>
        <v>1.53588974175501</v>
      </c>
      <c r="G595" s="74">
        <f t="shared" si="211"/>
        <v>87.39287437786855</v>
      </c>
      <c r="H595" s="74">
        <f t="shared" si="212"/>
        <v>5.286131481813329</v>
      </c>
      <c r="I595" s="74">
        <f t="shared" si="226"/>
        <v>5.286131481813329</v>
      </c>
      <c r="J595" s="74">
        <f t="shared" si="222"/>
        <v>3.180602221976846</v>
      </c>
      <c r="K595" s="74">
        <f t="shared" si="227"/>
        <v>25.823420688572526</v>
      </c>
      <c r="L595" s="74">
        <f t="shared" si="213"/>
        <v>2.1238923453025773</v>
      </c>
      <c r="M595" s="74">
        <f t="shared" si="224"/>
        <v>3.7484051255774977</v>
      </c>
      <c r="N595" s="74">
        <f t="shared" si="214"/>
        <v>-0.4002789405393484</v>
      </c>
      <c r="O595" s="74">
        <f t="shared" si="215"/>
        <v>46.36912234505622</v>
      </c>
      <c r="P595" s="74">
        <f t="shared" si="216"/>
        <v>0.4559717747301911</v>
      </c>
    </row>
    <row r="596" spans="2:16" ht="13.5">
      <c r="B596" s="74">
        <f t="shared" si="218"/>
        <v>38.59461963973164</v>
      </c>
      <c r="C596" s="70">
        <f t="shared" si="225"/>
        <v>60.001000000000005</v>
      </c>
      <c r="D596" s="70">
        <f t="shared" si="217"/>
        <v>89</v>
      </c>
      <c r="E596" s="74">
        <f t="shared" si="209"/>
        <v>1.0472150044891178</v>
      </c>
      <c r="F596" s="74">
        <f t="shared" si="210"/>
        <v>1.5533430342749535</v>
      </c>
      <c r="G596" s="74">
        <f t="shared" si="211"/>
        <v>87.39287437786855</v>
      </c>
      <c r="H596" s="74">
        <f t="shared" si="212"/>
        <v>2.642260453508916</v>
      </c>
      <c r="I596" s="74">
        <f t="shared" si="226"/>
        <v>2.642260453508916</v>
      </c>
      <c r="J596" s="74">
        <f t="shared" si="222"/>
        <v>0.8253164850416557</v>
      </c>
      <c r="K596" s="74">
        <f t="shared" si="227"/>
        <v>24.78639448011291</v>
      </c>
      <c r="L596" s="74">
        <f t="shared" si="213"/>
        <v>2.141345637822521</v>
      </c>
      <c r="M596" s="74">
        <f t="shared" si="224"/>
        <v>3.7898162648555984</v>
      </c>
      <c r="N596" s="74">
        <f t="shared" si="214"/>
        <v>-0.47040266753803595</v>
      </c>
      <c r="O596" s="74">
        <f t="shared" si="215"/>
        <v>45.025772224533625</v>
      </c>
      <c r="P596" s="74">
        <f t="shared" si="216"/>
        <v>0.4892294138348721</v>
      </c>
    </row>
    <row r="597" spans="2:16" ht="13.5">
      <c r="B597" s="74">
        <f t="shared" si="218"/>
        <v>37.8433686305388</v>
      </c>
      <c r="C597" s="70">
        <f t="shared" si="225"/>
        <v>60.001000000000005</v>
      </c>
      <c r="D597" s="70">
        <f t="shared" si="217"/>
        <v>90</v>
      </c>
      <c r="E597" s="74">
        <f t="shared" si="209"/>
        <v>1.0472150044891178</v>
      </c>
      <c r="F597" s="74">
        <f t="shared" si="210"/>
        <v>1.5707963267948966</v>
      </c>
      <c r="G597" s="74">
        <f t="shared" si="211"/>
        <v>87.39287437786855</v>
      </c>
      <c r="H597" s="74">
        <f t="shared" si="212"/>
        <v>9.272842368089618E-15</v>
      </c>
      <c r="I597" s="74">
        <f t="shared" si="226"/>
        <v>9.272842368089618E-15</v>
      </c>
      <c r="J597" s="74">
        <f t="shared" si="222"/>
        <v>-1.5833333333333073</v>
      </c>
      <c r="K597" s="74">
        <f t="shared" si="227"/>
        <v>23.750000000000007</v>
      </c>
      <c r="L597" s="74">
        <f t="shared" si="213"/>
        <v>2.158798930342464</v>
      </c>
      <c r="M597" s="74">
        <f t="shared" si="224"/>
        <v>3.8333333333333317</v>
      </c>
      <c r="N597" s="74">
        <f t="shared" si="214"/>
        <v>-0.5421151989096857</v>
      </c>
      <c r="O597" s="74">
        <f t="shared" si="215"/>
        <v>43.69775813176763</v>
      </c>
      <c r="P597" s="74">
        <f t="shared" si="216"/>
        <v>0.5235987755982986</v>
      </c>
    </row>
    <row r="598" spans="1:16" ht="15">
      <c r="A598" s="70" t="s">
        <v>515</v>
      </c>
      <c r="B598" s="70">
        <f>MAX(B412:B597)</f>
        <v>43.625504095017476</v>
      </c>
      <c r="C598" s="73">
        <f>VLOOKUP(B598,B412:P597,2,FALSE)</f>
        <v>57.121</v>
      </c>
      <c r="D598" s="73">
        <f>VLOOKUP(B598,B412:P597,3,FALSE)</f>
        <v>71</v>
      </c>
      <c r="E598" s="74"/>
      <c r="F598" s="74"/>
      <c r="G598" s="74"/>
      <c r="H598" s="74"/>
      <c r="I598" s="74"/>
      <c r="J598" s="74"/>
      <c r="K598" s="74"/>
      <c r="L598" s="74"/>
      <c r="M598" s="74"/>
      <c r="N598" s="74"/>
      <c r="O598" s="74"/>
      <c r="P598" s="74"/>
    </row>
    <row r="599" spans="2:16" ht="13.5">
      <c r="B599" s="74"/>
      <c r="E599" s="74"/>
      <c r="F599" s="74"/>
      <c r="G599" s="74"/>
      <c r="H599" s="74"/>
      <c r="I599" s="74"/>
      <c r="J599" s="74"/>
      <c r="K599" s="74"/>
      <c r="L599" s="74"/>
      <c r="M599" s="74"/>
      <c r="N599" s="74"/>
      <c r="O599" s="74"/>
      <c r="P599" s="74"/>
    </row>
    <row r="600" spans="3:11" ht="13.5">
      <c r="C600" s="74" t="s">
        <v>516</v>
      </c>
      <c r="D600" s="74">
        <f>C598-J407</f>
        <v>56.161</v>
      </c>
      <c r="E600" s="74" t="s">
        <v>473</v>
      </c>
      <c r="F600" s="74" t="s">
        <v>498</v>
      </c>
      <c r="G600" s="74">
        <f>C598+J407</f>
        <v>58.081</v>
      </c>
      <c r="H600" s="74" t="s">
        <v>473</v>
      </c>
      <c r="I600" s="70" t="s">
        <v>499</v>
      </c>
      <c r="J600" s="70">
        <f>(G600-D600)/5</f>
        <v>0.38400000000000034</v>
      </c>
      <c r="K600" s="74" t="s">
        <v>473</v>
      </c>
    </row>
    <row r="601" spans="3:11" ht="13.5">
      <c r="C601" s="74" t="s">
        <v>500</v>
      </c>
      <c r="D601" s="74">
        <f>$G$21</f>
        <v>60</v>
      </c>
      <c r="E601" s="74" t="s">
        <v>473</v>
      </c>
      <c r="F601" s="74" t="s">
        <v>501</v>
      </c>
      <c r="G601" s="74">
        <v>90</v>
      </c>
      <c r="H601" s="74" t="s">
        <v>473</v>
      </c>
      <c r="I601" s="70" t="s">
        <v>468</v>
      </c>
      <c r="J601" s="70">
        <f>(G601-D601)/30</f>
        <v>1</v>
      </c>
      <c r="K601" s="74" t="s">
        <v>473</v>
      </c>
    </row>
    <row r="603" spans="9:11" ht="13.5">
      <c r="I603" s="74" t="s">
        <v>502</v>
      </c>
      <c r="J603" s="74" t="s">
        <v>423</v>
      </c>
      <c r="K603" s="74" t="s">
        <v>424</v>
      </c>
    </row>
    <row r="604" spans="2:16" ht="13.5">
      <c r="B604" s="70" t="s">
        <v>503</v>
      </c>
      <c r="C604" s="74" t="s">
        <v>504</v>
      </c>
      <c r="D604" s="74" t="s">
        <v>505</v>
      </c>
      <c r="E604" s="74" t="s">
        <v>506</v>
      </c>
      <c r="F604" s="74" t="s">
        <v>507</v>
      </c>
      <c r="G604" s="70" t="s">
        <v>508</v>
      </c>
      <c r="H604" s="70" t="s">
        <v>509</v>
      </c>
      <c r="I604" s="74" t="str">
        <f>"ω2&gt;ωc"</f>
        <v>ω2&gt;ωc</v>
      </c>
      <c r="J604" s="75" t="str">
        <f>"ωb&lt;ω2&lt;ωc"</f>
        <v>ωb&lt;ω2&lt;ωc</v>
      </c>
      <c r="K604" s="74" t="str">
        <f>"ω2&lt;ωb"</f>
        <v>ω2&lt;ωb</v>
      </c>
      <c r="L604" s="74" t="s">
        <v>510</v>
      </c>
      <c r="M604" s="74" t="s">
        <v>467</v>
      </c>
      <c r="N604" s="74" t="s">
        <v>512</v>
      </c>
      <c r="O604" s="70" t="s">
        <v>513</v>
      </c>
      <c r="P604" s="70" t="s">
        <v>514</v>
      </c>
    </row>
    <row r="605" spans="2:16" ht="13.5">
      <c r="B605" s="74">
        <f>O605*SIN(F605-F$4)</f>
        <v>41.96045925194627</v>
      </c>
      <c r="C605" s="74">
        <f>D600</f>
        <v>56.161</v>
      </c>
      <c r="D605" s="74">
        <f>D601</f>
        <v>60</v>
      </c>
      <c r="E605" s="74">
        <f>C605*PI()/180</f>
        <v>0.9801943612125354</v>
      </c>
      <c r="F605" s="74">
        <f>D605*PI()/180</f>
        <v>1.0471975511965976</v>
      </c>
      <c r="G605" s="74">
        <f>(0.5*$D$3*$D$9+$D$5)*$D$9/TAN(E605)</f>
        <v>101.48601230194029</v>
      </c>
      <c r="H605" s="74">
        <f>IF(D605&gt;$F$17,I605,IF(D605&lt;$F$16,K605,J605))</f>
        <v>56.61327536344993</v>
      </c>
      <c r="I605" s="74">
        <f aca="true" t="shared" si="228" ref="I605:I626">(0.5*$D$3*$D$9+$D$6)*$D$9/TAN(F605)</f>
        <v>87.39639699857963</v>
      </c>
      <c r="J605" s="74">
        <f aca="true" t="shared" si="229" ref="J605:J636">0.5*$J$18*N605*$D$3+$G$18</f>
        <v>56.61327536344993</v>
      </c>
      <c r="K605" s="74">
        <f aca="true" t="shared" si="230" ref="K605:K626">0.5*$D$3*$D$8^2*(1/TAN(F605)-1/TAN($D$16))+$G$19</f>
        <v>58.03017223313404</v>
      </c>
      <c r="L605" s="74">
        <f>F605+D$14</f>
        <v>1.6352001547441652</v>
      </c>
      <c r="M605" s="74">
        <f aca="true" t="shared" si="231" ref="M605:M636">J$18/SIN(L605)*SIN(J$19)</f>
        <v>3.196152422706631</v>
      </c>
      <c r="N605" s="74">
        <f>M605*SIN(D$17-F605)</f>
        <v>1.1905676074715958</v>
      </c>
      <c r="O605" s="74">
        <f>SIN(E605-F$4)/SIN(E605+F605-2*F$4)*(G605+H605)</f>
        <v>83.92091850389255</v>
      </c>
      <c r="P605" s="74">
        <f>ATAN((O605*COS(F605-F$4)-H605)/(O605*SIN(F605-F$4)))</f>
        <v>0.3656310920381898</v>
      </c>
    </row>
    <row r="606" spans="2:16" ht="13.5">
      <c r="B606" s="74">
        <f aca="true" t="shared" si="232" ref="B606:B662">O606*SIN(F606-F$4)</f>
        <v>42.27068767053849</v>
      </c>
      <c r="C606" s="70">
        <f>C605</f>
        <v>56.161</v>
      </c>
      <c r="D606" s="70">
        <f>D605+J601</f>
        <v>61</v>
      </c>
      <c r="E606" s="74">
        <f aca="true" t="shared" si="233" ref="E606:E669">C606*PI()/180</f>
        <v>0.9801943612125354</v>
      </c>
      <c r="F606" s="74">
        <f aca="true" t="shared" si="234" ref="F606:F669">D606*PI()/180</f>
        <v>1.064650843716541</v>
      </c>
      <c r="G606" s="74">
        <f aca="true" t="shared" si="235" ref="G606:G669">(0.5*$D$3*$D$9+$D$5)*$D$9/TAN(E606)</f>
        <v>101.48601230194029</v>
      </c>
      <c r="H606" s="74">
        <f aca="true" t="shared" si="236" ref="H606:H669">IF(D606&gt;$F$17,I606,IF(D606&lt;$F$16,K606,J606))</f>
        <v>54.91741842603781</v>
      </c>
      <c r="I606" s="74">
        <f t="shared" si="228"/>
        <v>83.90853266366291</v>
      </c>
      <c r="J606" s="74">
        <f t="shared" si="229"/>
        <v>54.91741842603781</v>
      </c>
      <c r="K606" s="74">
        <f t="shared" si="230"/>
        <v>56.662099930008154</v>
      </c>
      <c r="L606" s="74">
        <f aca="true" t="shared" si="237" ref="L606:L669">F606+D$14</f>
        <v>1.6526534472641083</v>
      </c>
      <c r="M606" s="74">
        <f t="shared" si="231"/>
        <v>3.200241894286732</v>
      </c>
      <c r="N606" s="74">
        <f aca="true" t="shared" si="238" ref="N606:N669">M606*SIN(D$17-F606)</f>
        <v>1.1400769994561701</v>
      </c>
      <c r="O606" s="74">
        <f aca="true" t="shared" si="239" ref="O606:O669">SIN(E606-F$4)/SIN(E606+F606-2*F$4)*(G606+H606)</f>
        <v>82.07293738025216</v>
      </c>
      <c r="P606" s="74">
        <f aca="true" t="shared" si="240" ref="P606:P669">ATAN((O606*COS(F606-F$4)-H606)/(O606*SIN(F606-F$4)))</f>
        <v>0.35005874805432813</v>
      </c>
    </row>
    <row r="607" spans="2:16" ht="13.5">
      <c r="B607" s="74">
        <f t="shared" si="232"/>
        <v>42.54633364583889</v>
      </c>
      <c r="C607" s="70">
        <f aca="true" t="shared" si="241" ref="C607:C635">C606</f>
        <v>56.161</v>
      </c>
      <c r="D607" s="70">
        <f>D606+J601</f>
        <v>62</v>
      </c>
      <c r="E607" s="74">
        <f t="shared" si="233"/>
        <v>0.9801943612125354</v>
      </c>
      <c r="F607" s="74">
        <f t="shared" si="234"/>
        <v>1.0821041362364843</v>
      </c>
      <c r="G607" s="74">
        <f t="shared" si="235"/>
        <v>101.48601230194029</v>
      </c>
      <c r="H607" s="74">
        <f t="shared" si="236"/>
        <v>53.21669751699319</v>
      </c>
      <c r="I607" s="74">
        <f t="shared" si="228"/>
        <v>80.48751521775635</v>
      </c>
      <c r="J607" s="74">
        <f t="shared" si="229"/>
        <v>53.21669751699319</v>
      </c>
      <c r="K607" s="74">
        <f t="shared" si="230"/>
        <v>55.3202475049003</v>
      </c>
      <c r="L607" s="74">
        <f t="shared" si="237"/>
        <v>1.6701067397840519</v>
      </c>
      <c r="M607" s="74">
        <f t="shared" si="231"/>
        <v>3.205319466443784</v>
      </c>
      <c r="N607" s="74">
        <f t="shared" si="238"/>
        <v>1.0894415768165406</v>
      </c>
      <c r="O607" s="74">
        <f t="shared" si="239"/>
        <v>80.28833167143601</v>
      </c>
      <c r="P607" s="74">
        <f t="shared" si="240"/>
        <v>0.3362654603505528</v>
      </c>
    </row>
    <row r="608" spans="2:16" ht="13.5">
      <c r="B608" s="74">
        <f t="shared" si="232"/>
        <v>42.78855985457301</v>
      </c>
      <c r="C608" s="70">
        <f t="shared" si="241"/>
        <v>56.161</v>
      </c>
      <c r="D608" s="70">
        <f>D607+J601</f>
        <v>63</v>
      </c>
      <c r="E608" s="74">
        <f t="shared" si="233"/>
        <v>0.9801943612125354</v>
      </c>
      <c r="F608" s="74">
        <f t="shared" si="234"/>
        <v>1.0995574287564276</v>
      </c>
      <c r="G608" s="74">
        <f t="shared" si="235"/>
        <v>101.48601230194029</v>
      </c>
      <c r="H608" s="74">
        <f t="shared" si="236"/>
        <v>51.51005054407396</v>
      </c>
      <c r="I608" s="74">
        <f t="shared" si="228"/>
        <v>77.12941491721917</v>
      </c>
      <c r="J608" s="74">
        <f t="shared" si="229"/>
        <v>51.51005054407396</v>
      </c>
      <c r="K608" s="74">
        <f t="shared" si="230"/>
        <v>54.00307356373172</v>
      </c>
      <c r="L608" s="74">
        <f t="shared" si="237"/>
        <v>1.687560032303995</v>
      </c>
      <c r="M608" s="74">
        <f t="shared" si="231"/>
        <v>3.2113929525108333</v>
      </c>
      <c r="N608" s="74">
        <f t="shared" si="238"/>
        <v>1.0386297179684278</v>
      </c>
      <c r="O608" s="74">
        <f t="shared" si="239"/>
        <v>78.56315303105741</v>
      </c>
      <c r="P608" s="74">
        <f t="shared" si="240"/>
        <v>0.3241821786924301</v>
      </c>
    </row>
    <row r="609" spans="2:16" ht="13.5">
      <c r="B609" s="74">
        <f t="shared" si="232"/>
        <v>42.9984055635903</v>
      </c>
      <c r="C609" s="70">
        <f t="shared" si="241"/>
        <v>56.161</v>
      </c>
      <c r="D609" s="70">
        <f>D608+J601</f>
        <v>64</v>
      </c>
      <c r="E609" s="74">
        <f t="shared" si="233"/>
        <v>0.9801943612125354</v>
      </c>
      <c r="F609" s="74">
        <f t="shared" si="234"/>
        <v>1.117010721276371</v>
      </c>
      <c r="G609" s="74">
        <f t="shared" si="235"/>
        <v>101.48601230194029</v>
      </c>
      <c r="H609" s="74">
        <f t="shared" si="236"/>
        <v>49.7964007486329</v>
      </c>
      <c r="I609" s="74">
        <f t="shared" si="228"/>
        <v>73.83052059415728</v>
      </c>
      <c r="J609" s="74">
        <f t="shared" si="229"/>
        <v>49.7964007486329</v>
      </c>
      <c r="K609" s="74">
        <f t="shared" si="230"/>
        <v>52.70912244609802</v>
      </c>
      <c r="L609" s="74">
        <f t="shared" si="237"/>
        <v>1.7050133248239385</v>
      </c>
      <c r="M609" s="74">
        <f t="shared" si="231"/>
        <v>3.21847173736185</v>
      </c>
      <c r="N609" s="74">
        <f t="shared" si="238"/>
        <v>0.9876093646658881</v>
      </c>
      <c r="O609" s="74">
        <f t="shared" si="239"/>
        <v>76.89368963145235</v>
      </c>
      <c r="P609" s="74">
        <f t="shared" si="240"/>
        <v>0.31374539593140066</v>
      </c>
    </row>
    <row r="610" spans="2:16" ht="13.5">
      <c r="B610" s="74">
        <f t="shared" si="232"/>
        <v>43.176794502716774</v>
      </c>
      <c r="C610" s="70">
        <f t="shared" si="241"/>
        <v>56.161</v>
      </c>
      <c r="D610" s="70">
        <f>D609+J601</f>
        <v>65</v>
      </c>
      <c r="E610" s="74">
        <f t="shared" si="233"/>
        <v>0.9801943612125354</v>
      </c>
      <c r="F610" s="74">
        <f t="shared" si="234"/>
        <v>1.1344640137963142</v>
      </c>
      <c r="G610" s="74">
        <f t="shared" si="235"/>
        <v>101.48601230194029</v>
      </c>
      <c r="H610" s="74">
        <f t="shared" si="236"/>
        <v>48.07465394252364</v>
      </c>
      <c r="I610" s="74">
        <f t="shared" si="228"/>
        <v>70.58732175321292</v>
      </c>
      <c r="J610" s="74">
        <f t="shared" si="229"/>
        <v>48.07465394252364</v>
      </c>
      <c r="K610" s="74">
        <f t="shared" si="230"/>
        <v>51.43701720295304</v>
      </c>
      <c r="L610" s="74">
        <f t="shared" si="237"/>
        <v>1.7224666173438816</v>
      </c>
      <c r="M610" s="74">
        <f t="shared" si="231"/>
        <v>3.2265668130425462</v>
      </c>
      <c r="N610" s="74">
        <f t="shared" si="238"/>
        <v>0.9363479397359457</v>
      </c>
      <c r="O610" s="74">
        <f t="shared" si="239"/>
        <v>75.2764440209522</v>
      </c>
      <c r="P610" s="74">
        <f t="shared" si="240"/>
        <v>0.3048976140526095</v>
      </c>
    </row>
    <row r="611" spans="2:16" ht="13.5">
      <c r="B611" s="74">
        <f t="shared" si="232"/>
        <v>43.32454176252795</v>
      </c>
      <c r="C611" s="70">
        <f t="shared" si="241"/>
        <v>56.161</v>
      </c>
      <c r="D611" s="70">
        <f>D610+J601</f>
        <v>66</v>
      </c>
      <c r="E611" s="74">
        <f t="shared" si="233"/>
        <v>0.9801943612125354</v>
      </c>
      <c r="F611" s="74">
        <f t="shared" si="234"/>
        <v>1.1519173063162575</v>
      </c>
      <c r="G611" s="74">
        <f t="shared" si="235"/>
        <v>101.48601230194029</v>
      </c>
      <c r="H611" s="74">
        <f t="shared" si="236"/>
        <v>46.34369565210348</v>
      </c>
      <c r="I611" s="74">
        <f t="shared" si="228"/>
        <v>67.39649223857965</v>
      </c>
      <c r="J611" s="74">
        <f t="shared" si="229"/>
        <v>46.34369565210348</v>
      </c>
      <c r="K611" s="74">
        <f t="shared" si="230"/>
        <v>50.18545319019432</v>
      </c>
      <c r="L611" s="74">
        <f t="shared" si="237"/>
        <v>1.7399199098638252</v>
      </c>
      <c r="M611" s="74">
        <f t="shared" si="231"/>
        <v>3.235690820800044</v>
      </c>
      <c r="N611" s="74">
        <f t="shared" si="238"/>
        <v>0.8848122620472225</v>
      </c>
      <c r="O611" s="74">
        <f t="shared" si="239"/>
        <v>73.70811294355221</v>
      </c>
      <c r="P611" s="74">
        <f t="shared" si="240"/>
        <v>0.2975876224631013</v>
      </c>
    </row>
    <row r="612" spans="2:16" ht="13.5">
      <c r="B612" s="74">
        <f t="shared" si="232"/>
        <v>43.44235980898827</v>
      </c>
      <c r="C612" s="70">
        <f t="shared" si="241"/>
        <v>56.161</v>
      </c>
      <c r="D612" s="70">
        <f>D611+J601</f>
        <v>67</v>
      </c>
      <c r="E612" s="74">
        <f t="shared" si="233"/>
        <v>0.9801943612125354</v>
      </c>
      <c r="F612" s="74">
        <f t="shared" si="234"/>
        <v>1.1693705988362006</v>
      </c>
      <c r="G612" s="74">
        <f t="shared" si="235"/>
        <v>101.48601230194029</v>
      </c>
      <c r="H612" s="74">
        <f t="shared" si="236"/>
        <v>44.602388153158174</v>
      </c>
      <c r="I612" s="74">
        <f t="shared" si="228"/>
        <v>64.25487530372895</v>
      </c>
      <c r="J612" s="74">
        <f t="shared" si="229"/>
        <v>44.602388153158174</v>
      </c>
      <c r="K612" s="74">
        <f t="shared" si="230"/>
        <v>48.95319221244529</v>
      </c>
      <c r="L612" s="74">
        <f t="shared" si="237"/>
        <v>1.7573732023837683</v>
      </c>
      <c r="M612" s="74">
        <f t="shared" si="231"/>
        <v>3.2458580998131934</v>
      </c>
      <c r="N612" s="74">
        <f t="shared" si="238"/>
        <v>0.8329684582310031</v>
      </c>
      <c r="O612" s="74">
        <f t="shared" si="239"/>
        <v>72.18556888370098</v>
      </c>
      <c r="P612" s="74">
        <f t="shared" si="240"/>
        <v>0.29177063705593326</v>
      </c>
    </row>
    <row r="613" spans="2:16" ht="13.5">
      <c r="B613" s="74">
        <f t="shared" si="232"/>
        <v>43.530863693542386</v>
      </c>
      <c r="C613" s="70">
        <f t="shared" si="241"/>
        <v>56.161</v>
      </c>
      <c r="D613" s="70">
        <f>D612+J601</f>
        <v>68</v>
      </c>
      <c r="E613" s="74">
        <f t="shared" si="233"/>
        <v>0.9801943612125354</v>
      </c>
      <c r="F613" s="74">
        <f t="shared" si="234"/>
        <v>1.1868238913561442</v>
      </c>
      <c r="G613" s="74">
        <f t="shared" si="235"/>
        <v>101.48601230194029</v>
      </c>
      <c r="H613" s="74">
        <f t="shared" si="236"/>
        <v>42.84956737955771</v>
      </c>
      <c r="I613" s="74">
        <f t="shared" si="228"/>
        <v>61.15946993579685</v>
      </c>
      <c r="J613" s="74">
        <f t="shared" si="229"/>
        <v>42.84956737955771</v>
      </c>
      <c r="K613" s="74">
        <f t="shared" si="230"/>
        <v>47.739057158962424</v>
      </c>
      <c r="L613" s="74">
        <f t="shared" si="237"/>
        <v>1.7748264949037118</v>
      </c>
      <c r="M613" s="74">
        <f t="shared" si="231"/>
        <v>3.2570847429771757</v>
      </c>
      <c r="N613" s="74">
        <f t="shared" si="238"/>
        <v>0.7807818706428962</v>
      </c>
      <c r="O613" s="74">
        <f t="shared" si="239"/>
        <v>70.70584312672226</v>
      </c>
      <c r="P613" s="74">
        <f t="shared" si="240"/>
        <v>0.2874083385026794</v>
      </c>
    </row>
    <row r="614" spans="2:16" ht="13.5">
      <c r="B614" s="74">
        <f t="shared" si="232"/>
        <v>43.59057552552918</v>
      </c>
      <c r="C614" s="70">
        <f t="shared" si="241"/>
        <v>56.161</v>
      </c>
      <c r="D614" s="70">
        <f>D613+J601</f>
        <v>69</v>
      </c>
      <c r="E614" s="74">
        <f t="shared" si="233"/>
        <v>0.9801943612125354</v>
      </c>
      <c r="F614" s="74">
        <f t="shared" si="234"/>
        <v>1.2042771838760873</v>
      </c>
      <c r="G614" s="74">
        <f t="shared" si="235"/>
        <v>101.48601230194029</v>
      </c>
      <c r="H614" s="74">
        <f t="shared" si="236"/>
        <v>41.08403968726031</v>
      </c>
      <c r="I614" s="74">
        <f t="shared" si="228"/>
        <v>58.107418303486085</v>
      </c>
      <c r="J614" s="74">
        <f t="shared" si="229"/>
        <v>41.08403968726031</v>
      </c>
      <c r="K614" s="74">
        <f t="shared" si="230"/>
        <v>46.54192708022782</v>
      </c>
      <c r="L614" s="74">
        <f t="shared" si="237"/>
        <v>1.792279787423655</v>
      </c>
      <c r="M614" s="74">
        <f t="shared" si="231"/>
        <v>3.2693886601519666</v>
      </c>
      <c r="N614" s="74">
        <f t="shared" si="238"/>
        <v>0.7282169610177962</v>
      </c>
      <c r="O614" s="74">
        <f t="shared" si="239"/>
        <v>69.26611014909437</v>
      </c>
      <c r="P614" s="74">
        <f t="shared" si="240"/>
        <v>0.28446883946882484</v>
      </c>
    </row>
    <row r="615" spans="2:16" ht="13.5">
      <c r="B615" s="74">
        <f t="shared" si="232"/>
        <v>43.62192826344598</v>
      </c>
      <c r="C615" s="70">
        <f t="shared" si="241"/>
        <v>56.161</v>
      </c>
      <c r="D615" s="70">
        <f>D614+J601</f>
        <v>70</v>
      </c>
      <c r="E615" s="74">
        <f t="shared" si="233"/>
        <v>0.9801943612125354</v>
      </c>
      <c r="F615" s="74">
        <f t="shared" si="234"/>
        <v>1.2217304763960306</v>
      </c>
      <c r="G615" s="74">
        <f t="shared" si="235"/>
        <v>101.48601230194029</v>
      </c>
      <c r="H615" s="74">
        <f t="shared" si="236"/>
        <v>39.30457845389725</v>
      </c>
      <c r="I615" s="74">
        <f t="shared" si="228"/>
        <v>55.09599421204639</v>
      </c>
      <c r="J615" s="74">
        <f t="shared" si="229"/>
        <v>39.30457845389725</v>
      </c>
      <c r="K615" s="74">
        <f t="shared" si="230"/>
        <v>45.360732659555765</v>
      </c>
      <c r="L615" s="74">
        <f t="shared" si="237"/>
        <v>1.809733079943598</v>
      </c>
      <c r="M615" s="74">
        <f t="shared" si="231"/>
        <v>3.2827896493451227</v>
      </c>
      <c r="N615" s="74">
        <f t="shared" si="238"/>
        <v>0.6752372092296027</v>
      </c>
      <c r="O615" s="74">
        <f t="shared" si="239"/>
        <v>67.86367317303856</v>
      </c>
      <c r="P615" s="74">
        <f t="shared" si="240"/>
        <v>0.2829266029934345</v>
      </c>
    </row>
    <row r="616" spans="2:16" ht="13.5">
      <c r="B616" s="74">
        <f t="shared" si="232"/>
        <v>43.62526887237851</v>
      </c>
      <c r="C616" s="70">
        <f t="shared" si="241"/>
        <v>56.161</v>
      </c>
      <c r="D616" s="70">
        <f>D615+J601</f>
        <v>71</v>
      </c>
      <c r="E616" s="74">
        <f t="shared" si="233"/>
        <v>0.9801943612125354</v>
      </c>
      <c r="F616" s="74">
        <f t="shared" si="234"/>
        <v>1.239183768915974</v>
      </c>
      <c r="G616" s="74">
        <f t="shared" si="235"/>
        <v>101.48601230194029</v>
      </c>
      <c r="H616" s="74">
        <f t="shared" si="236"/>
        <v>37.50992049257642</v>
      </c>
      <c r="I616" s="74">
        <f t="shared" si="228"/>
        <v>52.12259246172309</v>
      </c>
      <c r="J616" s="74">
        <f t="shared" si="229"/>
        <v>37.50992049257642</v>
      </c>
      <c r="K616" s="74">
        <f t="shared" si="230"/>
        <v>44.19445203907388</v>
      </c>
      <c r="L616" s="74">
        <f t="shared" si="237"/>
        <v>1.8271863724635415</v>
      </c>
      <c r="M616" s="74">
        <f t="shared" si="231"/>
        <v>3.297309476365921</v>
      </c>
      <c r="N616" s="74">
        <f t="shared" si="238"/>
        <v>0.6218050065196917</v>
      </c>
      <c r="O616" s="74">
        <f t="shared" si="239"/>
        <v>66.49595073709402</v>
      </c>
      <c r="P616" s="74">
        <f t="shared" si="240"/>
        <v>0.28276232799508483</v>
      </c>
    </row>
    <row r="617" spans="2:16" ht="13.5">
      <c r="B617" s="74">
        <f t="shared" si="232"/>
        <v>43.60086088663587</v>
      </c>
      <c r="C617" s="70">
        <f t="shared" si="241"/>
        <v>56.161</v>
      </c>
      <c r="D617" s="70">
        <f>D616+J601</f>
        <v>72</v>
      </c>
      <c r="E617" s="74">
        <f t="shared" si="233"/>
        <v>0.9801943612125354</v>
      </c>
      <c r="F617" s="74">
        <f t="shared" si="234"/>
        <v>1.2566370614359172</v>
      </c>
      <c r="G617" s="74">
        <f t="shared" si="235"/>
        <v>101.48601230194029</v>
      </c>
      <c r="H617" s="74">
        <f t="shared" si="236"/>
        <v>35.698762256707205</v>
      </c>
      <c r="I617" s="74">
        <f t="shared" si="228"/>
        <v>49.18471901725621</v>
      </c>
      <c r="J617" s="74">
        <f t="shared" si="229"/>
        <v>35.698762256707205</v>
      </c>
      <c r="K617" s="74">
        <f t="shared" si="230"/>
        <v>43.042106963828815</v>
      </c>
      <c r="L617" s="74">
        <f t="shared" si="237"/>
        <v>1.8446396649834846</v>
      </c>
      <c r="M617" s="74">
        <f t="shared" si="231"/>
        <v>3.3129719635610875</v>
      </c>
      <c r="N617" s="74">
        <f t="shared" si="238"/>
        <v>0.5678815425034818</v>
      </c>
      <c r="O617" s="74">
        <f t="shared" si="239"/>
        <v>65.16046414898634</v>
      </c>
      <c r="P617" s="74">
        <f t="shared" si="240"/>
        <v>0.28396281257599276</v>
      </c>
    </row>
    <row r="618" spans="2:16" ht="13.5">
      <c r="B618" s="74">
        <f t="shared" si="232"/>
        <v>43.54888640910918</v>
      </c>
      <c r="C618" s="70">
        <f t="shared" si="241"/>
        <v>56.161</v>
      </c>
      <c r="D618" s="70">
        <f>D617+J601</f>
        <v>73</v>
      </c>
      <c r="E618" s="74">
        <f t="shared" si="233"/>
        <v>0.9801943612125354</v>
      </c>
      <c r="F618" s="74">
        <f t="shared" si="234"/>
        <v>1.2740903539558606</v>
      </c>
      <c r="G618" s="74">
        <f t="shared" si="235"/>
        <v>101.48601230194029</v>
      </c>
      <c r="H618" s="74">
        <f t="shared" si="236"/>
        <v>33.86975581055276</v>
      </c>
      <c r="I618" s="74">
        <f t="shared" si="228"/>
        <v>46.27998190580472</v>
      </c>
      <c r="J618" s="74">
        <f t="shared" si="229"/>
        <v>33.86975581055276</v>
      </c>
      <c r="K618" s="74">
        <f t="shared" si="230"/>
        <v>41.90275921160796</v>
      </c>
      <c r="L618" s="74">
        <f t="shared" si="237"/>
        <v>1.8620929575034282</v>
      </c>
      <c r="M618" s="74">
        <f t="shared" si="231"/>
        <v>3.3298030883232532</v>
      </c>
      <c r="N618" s="74">
        <f t="shared" si="238"/>
        <v>0.5134266852020202</v>
      </c>
      <c r="O618" s="74">
        <f t="shared" si="239"/>
        <v>63.85482569946114</v>
      </c>
      <c r="P618" s="74">
        <f t="shared" si="240"/>
        <v>0.2865208012936354</v>
      </c>
    </row>
    <row r="619" spans="2:16" ht="13.5">
      <c r="B619" s="74">
        <f t="shared" si="232"/>
        <v>43.46944757195779</v>
      </c>
      <c r="C619" s="70">
        <f t="shared" si="241"/>
        <v>56.161</v>
      </c>
      <c r="D619" s="70">
        <f>D618+J601</f>
        <v>74</v>
      </c>
      <c r="E619" s="74">
        <f t="shared" si="233"/>
        <v>0.9801943612125354</v>
      </c>
      <c r="F619" s="74">
        <f t="shared" si="234"/>
        <v>1.2915436464758039</v>
      </c>
      <c r="G619" s="74">
        <f t="shared" si="235"/>
        <v>101.48601230194029</v>
      </c>
      <c r="H619" s="74">
        <f t="shared" si="236"/>
        <v>32.02150453781869</v>
      </c>
      <c r="I619" s="74">
        <f t="shared" si="228"/>
        <v>43.40608276923955</v>
      </c>
      <c r="J619" s="74">
        <f t="shared" si="229"/>
        <v>32.02150453781869</v>
      </c>
      <c r="K619" s="74">
        <f t="shared" si="230"/>
        <v>40.77550727942922</v>
      </c>
      <c r="L619" s="74">
        <f t="shared" si="237"/>
        <v>1.8795462500233713</v>
      </c>
      <c r="M619" s="74">
        <f t="shared" si="231"/>
        <v>3.347831092152982</v>
      </c>
      <c r="N619" s="74">
        <f t="shared" si="238"/>
        <v>0.4583988532741495</v>
      </c>
      <c r="O619" s="74">
        <f t="shared" si="239"/>
        <v>62.576727526129474</v>
      </c>
      <c r="P619" s="74">
        <f t="shared" si="240"/>
        <v>0.29043481865524856</v>
      </c>
    </row>
    <row r="620" spans="2:16" ht="13.5">
      <c r="B620" s="74">
        <f t="shared" si="232"/>
        <v>43.36256747677976</v>
      </c>
      <c r="C620" s="70">
        <f t="shared" si="241"/>
        <v>56.161</v>
      </c>
      <c r="D620" s="70">
        <f>D619+J601</f>
        <v>75</v>
      </c>
      <c r="E620" s="74">
        <f t="shared" si="233"/>
        <v>0.9801943612125354</v>
      </c>
      <c r="F620" s="74">
        <f t="shared" si="234"/>
        <v>1.3089969389957472</v>
      </c>
      <c r="G620" s="74">
        <f t="shared" si="235"/>
        <v>101.48601230194029</v>
      </c>
      <c r="H620" s="74">
        <f t="shared" si="236"/>
        <v>30.152558557855457</v>
      </c>
      <c r="I620" s="74">
        <f t="shared" si="228"/>
        <v>40.560809004261195</v>
      </c>
      <c r="J620" s="74">
        <f t="shared" si="229"/>
        <v>30.152558557855457</v>
      </c>
      <c r="K620" s="74">
        <f t="shared" si="230"/>
        <v>39.65948330059791</v>
      </c>
      <c r="L620" s="74">
        <f t="shared" si="237"/>
        <v>1.8969995425433148</v>
      </c>
      <c r="M620" s="74">
        <f t="shared" si="231"/>
        <v>3.3670866011551928</v>
      </c>
      <c r="N620" s="74">
        <f t="shared" si="238"/>
        <v>0.4027548795434824</v>
      </c>
      <c r="O620" s="74">
        <f t="shared" si="239"/>
        <v>61.32393102498041</v>
      </c>
      <c r="P620" s="74">
        <f t="shared" si="240"/>
        <v>0.2957089875812005</v>
      </c>
    </row>
    <row r="621" spans="2:16" ht="13.5">
      <c r="B621" s="74">
        <f t="shared" si="232"/>
        <v>43.22819062632203</v>
      </c>
      <c r="C621" s="70">
        <f t="shared" si="241"/>
        <v>56.161</v>
      </c>
      <c r="D621" s="70">
        <f>D620+J601</f>
        <v>76</v>
      </c>
      <c r="E621" s="74">
        <f t="shared" si="233"/>
        <v>0.9801943612125354</v>
      </c>
      <c r="F621" s="74">
        <f t="shared" si="234"/>
        <v>1.3264502315156903</v>
      </c>
      <c r="G621" s="74">
        <f t="shared" si="235"/>
        <v>101.48601230194029</v>
      </c>
      <c r="H621" s="74">
        <f t="shared" si="236"/>
        <v>28.2614098159386</v>
      </c>
      <c r="I621" s="74">
        <f t="shared" si="228"/>
        <v>37.7420264303865</v>
      </c>
      <c r="J621" s="74">
        <f t="shared" si="229"/>
        <v>28.2614098159386</v>
      </c>
      <c r="K621" s="74">
        <f t="shared" si="230"/>
        <v>38.55385016881386</v>
      </c>
      <c r="L621" s="74">
        <f t="shared" si="237"/>
        <v>1.914452835063258</v>
      </c>
      <c r="M621" s="74">
        <f t="shared" si="231"/>
        <v>3.3876027589624966</v>
      </c>
      <c r="N621" s="74">
        <f t="shared" si="238"/>
        <v>0.34644986482172163</v>
      </c>
      <c r="O621" s="74">
        <f t="shared" si="239"/>
        <v>60.094256714241375</v>
      </c>
      <c r="P621" s="74">
        <f t="shared" si="240"/>
        <v>0.30235282831482735</v>
      </c>
    </row>
    <row r="622" spans="2:16" ht="13.5">
      <c r="B622" s="74">
        <f t="shared" si="232"/>
        <v>43.06618285391455</v>
      </c>
      <c r="C622" s="70">
        <f t="shared" si="241"/>
        <v>56.161</v>
      </c>
      <c r="D622" s="70">
        <f>D621+J601</f>
        <v>77</v>
      </c>
      <c r="E622" s="74">
        <f t="shared" si="233"/>
        <v>0.9801943612125354</v>
      </c>
      <c r="F622" s="74">
        <f t="shared" si="234"/>
        <v>1.3439035240356338</v>
      </c>
      <c r="G622" s="74">
        <f t="shared" si="235"/>
        <v>101.48601230194029</v>
      </c>
      <c r="H622" s="74">
        <f t="shared" si="236"/>
        <v>26.34648681054474</v>
      </c>
      <c r="I622" s="74">
        <f t="shared" si="228"/>
        <v>34.9476724316321</v>
      </c>
      <c r="J622" s="74">
        <f t="shared" si="229"/>
        <v>26.34648681054474</v>
      </c>
      <c r="K622" s="74">
        <f t="shared" si="230"/>
        <v>37.4577988480803</v>
      </c>
      <c r="L622" s="74">
        <f t="shared" si="237"/>
        <v>1.9319061275832015</v>
      </c>
      <c r="M622" s="74">
        <f t="shared" si="231"/>
        <v>3.409415373203253</v>
      </c>
      <c r="N622" s="74">
        <f t="shared" si="238"/>
        <v>0.2894370209242849</v>
      </c>
      <c r="O622" s="74">
        <f t="shared" si="239"/>
        <v>58.885574460850826</v>
      </c>
      <c r="P622" s="74">
        <f t="shared" si="240"/>
        <v>0.3103810300900461</v>
      </c>
    </row>
    <row r="623" spans="2:16" ht="13.5">
      <c r="B623" s="74">
        <f t="shared" si="232"/>
        <v>42.876330751066256</v>
      </c>
      <c r="C623" s="70">
        <f t="shared" si="241"/>
        <v>56.161</v>
      </c>
      <c r="D623" s="70">
        <f>D622+J601</f>
        <v>78</v>
      </c>
      <c r="E623" s="74">
        <f t="shared" si="233"/>
        <v>0.9801943612125354</v>
      </c>
      <c r="F623" s="74">
        <f t="shared" si="234"/>
        <v>1.361356816555577</v>
      </c>
      <c r="G623" s="74">
        <f t="shared" si="235"/>
        <v>101.48601230194029</v>
      </c>
      <c r="H623" s="74">
        <f t="shared" si="236"/>
        <v>24.40614891650218</v>
      </c>
      <c r="I623" s="74">
        <f t="shared" si="228"/>
        <v>32.17574952279962</v>
      </c>
      <c r="J623" s="74">
        <f t="shared" si="229"/>
        <v>24.40614891650218</v>
      </c>
      <c r="K623" s="74">
        <f t="shared" si="230"/>
        <v>36.370545849157565</v>
      </c>
      <c r="L623" s="74">
        <f t="shared" si="237"/>
        <v>1.9493594201031446</v>
      </c>
      <c r="M623" s="74">
        <f t="shared" si="231"/>
        <v>3.4325630767730444</v>
      </c>
      <c r="N623" s="74">
        <f t="shared" si="238"/>
        <v>0.23166750165393885</v>
      </c>
      <c r="O623" s="74">
        <f t="shared" si="239"/>
        <v>57.695793984063094</v>
      </c>
      <c r="P623" s="74">
        <f t="shared" si="240"/>
        <v>0.3198131846938859</v>
      </c>
    </row>
    <row r="624" spans="2:16" ht="13.5">
      <c r="B624" s="74">
        <f t="shared" si="232"/>
        <v>42.65834058793251</v>
      </c>
      <c r="C624" s="70">
        <f t="shared" si="241"/>
        <v>56.161</v>
      </c>
      <c r="D624" s="70">
        <f>D623+J601</f>
        <v>79</v>
      </c>
      <c r="E624" s="74">
        <f t="shared" si="233"/>
        <v>0.9801943612125354</v>
      </c>
      <c r="F624" s="74">
        <f t="shared" si="234"/>
        <v>1.3788101090755203</v>
      </c>
      <c r="G624" s="74">
        <f t="shared" si="235"/>
        <v>101.48601230194029</v>
      </c>
      <c r="H624" s="74">
        <f t="shared" si="236"/>
        <v>22.438680258289008</v>
      </c>
      <c r="I624" s="74">
        <f t="shared" si="228"/>
        <v>29.424319295722153</v>
      </c>
      <c r="J624" s="74">
        <f t="shared" si="229"/>
        <v>22.438680258289008</v>
      </c>
      <c r="K624" s="74">
        <f t="shared" si="230"/>
        <v>35.29133085505204</v>
      </c>
      <c r="L624" s="74">
        <f t="shared" si="237"/>
        <v>1.9668127126230877</v>
      </c>
      <c r="M624" s="74">
        <f t="shared" si="231"/>
        <v>3.4570875053272205</v>
      </c>
      <c r="N624" s="74">
        <f t="shared" si="238"/>
        <v>0.17309022039101127</v>
      </c>
      <c r="O624" s="74">
        <f t="shared" si="239"/>
        <v>56.52285555370955</v>
      </c>
      <c r="P624" s="74">
        <f t="shared" si="240"/>
        <v>0.33067346780398144</v>
      </c>
    </row>
    <row r="625" spans="2:16" ht="13.5">
      <c r="B625" s="74">
        <f t="shared" si="232"/>
        <v>42.41183671555274</v>
      </c>
      <c r="C625" s="70">
        <f t="shared" si="241"/>
        <v>56.161</v>
      </c>
      <c r="D625" s="70">
        <f>D624+J601</f>
        <v>80</v>
      </c>
      <c r="E625" s="74">
        <f t="shared" si="233"/>
        <v>0.9801943612125354</v>
      </c>
      <c r="F625" s="74">
        <f t="shared" si="234"/>
        <v>1.3962634015954636</v>
      </c>
      <c r="G625" s="74">
        <f t="shared" si="235"/>
        <v>101.48601230194029</v>
      </c>
      <c r="H625" s="74">
        <f t="shared" si="236"/>
        <v>20.442283082501756</v>
      </c>
      <c r="I625" s="74">
        <f t="shared" si="228"/>
        <v>26.691496704743898</v>
      </c>
      <c r="J625" s="74">
        <f t="shared" si="229"/>
        <v>20.442283082501756</v>
      </c>
      <c r="K625" s="74">
        <f t="shared" si="230"/>
        <v>34.21941447956511</v>
      </c>
      <c r="L625" s="74">
        <f t="shared" si="237"/>
        <v>1.9842660051430312</v>
      </c>
      <c r="M625" s="74">
        <f t="shared" si="231"/>
        <v>3.483033492591896</v>
      </c>
      <c r="N625" s="74">
        <f t="shared" si="238"/>
        <v>0.1136516527724497</v>
      </c>
      <c r="O625" s="74">
        <f t="shared" si="239"/>
        <v>55.364720802452915</v>
      </c>
      <c r="P625" s="74">
        <f t="shared" si="240"/>
        <v>0.3429902506105918</v>
      </c>
    </row>
    <row r="626" spans="2:16" ht="13.5">
      <c r="B626" s="74">
        <f t="shared" si="232"/>
        <v>42.136359432756024</v>
      </c>
      <c r="C626" s="70">
        <f t="shared" si="241"/>
        <v>56.161</v>
      </c>
      <c r="D626" s="70">
        <f>D625+J601</f>
        <v>81</v>
      </c>
      <c r="E626" s="74">
        <f t="shared" si="233"/>
        <v>0.9801943612125354</v>
      </c>
      <c r="F626" s="74">
        <f t="shared" si="234"/>
        <v>1.413716694115407</v>
      </c>
      <c r="G626" s="74">
        <f t="shared" si="235"/>
        <v>101.48601230194029</v>
      </c>
      <c r="H626" s="74">
        <f t="shared" si="236"/>
        <v>18.415070572518374</v>
      </c>
      <c r="I626" s="74">
        <f t="shared" si="228"/>
        <v>23.97544465412669</v>
      </c>
      <c r="J626" s="74">
        <f t="shared" si="229"/>
        <v>18.415070572518374</v>
      </c>
      <c r="K626" s="74">
        <f t="shared" si="230"/>
        <v>33.15407614426935</v>
      </c>
      <c r="L626" s="74">
        <f t="shared" si="237"/>
        <v>2.0017192976629743</v>
      </c>
      <c r="M626" s="74">
        <f t="shared" si="231"/>
        <v>3.510449285294637</v>
      </c>
      <c r="N626" s="74">
        <f t="shared" si="238"/>
        <v>0.053295622763378</v>
      </c>
      <c r="O626" s="74">
        <f t="shared" si="239"/>
        <v>54.21936357201161</v>
      </c>
      <c r="P626" s="74">
        <f t="shared" si="240"/>
        <v>0.35679562077741495</v>
      </c>
    </row>
    <row r="627" spans="2:16" ht="13.5">
      <c r="B627" s="74">
        <f t="shared" si="232"/>
        <v>43.577624685015785</v>
      </c>
      <c r="C627" s="70">
        <f t="shared" si="241"/>
        <v>56.161</v>
      </c>
      <c r="D627" s="70">
        <f>D626+J601</f>
        <v>82</v>
      </c>
      <c r="E627" s="74">
        <f t="shared" si="233"/>
        <v>0.9801943612125354</v>
      </c>
      <c r="F627" s="74">
        <f t="shared" si="234"/>
        <v>1.43116998663535</v>
      </c>
      <c r="G627" s="74">
        <f t="shared" si="235"/>
        <v>101.48601230194029</v>
      </c>
      <c r="H627" s="74">
        <f t="shared" si="236"/>
        <v>21.274368853074545</v>
      </c>
      <c r="I627" s="74">
        <f aca="true" t="shared" si="242" ref="I627:I680">(0.5*$D$3*$D$9+$D$6)*$D$9/TAN(F627)</f>
        <v>21.274368853074545</v>
      </c>
      <c r="J627" s="74">
        <f t="shared" si="229"/>
        <v>16.355059041525283</v>
      </c>
      <c r="K627" s="74">
        <f aca="true" t="shared" si="243" ref="K627:K680">0.5*$D$3*$D$8^2*(1/TAN(F627)-1/TAN($D$16))+$G$19</f>
        <v>32.09461206045451</v>
      </c>
      <c r="L627" s="74">
        <f t="shared" si="237"/>
        <v>2.0191725901829174</v>
      </c>
      <c r="M627" s="74">
        <f t="shared" si="231"/>
        <v>3.539386779747792</v>
      </c>
      <c r="N627" s="74">
        <f t="shared" si="238"/>
        <v>-0.008036929779261789</v>
      </c>
      <c r="O627" s="74">
        <f t="shared" si="239"/>
        <v>55.30079949488149</v>
      </c>
      <c r="P627" s="74">
        <f t="shared" si="240"/>
        <v>0.28510613123608497</v>
      </c>
    </row>
    <row r="628" spans="2:16" ht="13.5">
      <c r="B628" s="74">
        <f t="shared" si="232"/>
        <v>43.047251638586694</v>
      </c>
      <c r="C628" s="70">
        <f t="shared" si="241"/>
        <v>56.161</v>
      </c>
      <c r="D628" s="70">
        <f>D627+J601</f>
        <v>83</v>
      </c>
      <c r="E628" s="74">
        <f t="shared" si="233"/>
        <v>0.9801943612125354</v>
      </c>
      <c r="F628" s="74">
        <f t="shared" si="234"/>
        <v>1.4486232791552935</v>
      </c>
      <c r="G628" s="74">
        <f t="shared" si="235"/>
        <v>101.48601230194029</v>
      </c>
      <c r="H628" s="74">
        <f t="shared" si="236"/>
        <v>18.586512906677186</v>
      </c>
      <c r="I628" s="74">
        <f t="shared" si="242"/>
        <v>18.586512906677186</v>
      </c>
      <c r="J628" s="74">
        <f t="shared" si="229"/>
        <v>14.26015943222883</v>
      </c>
      <c r="K628" s="74">
        <f t="shared" si="243"/>
        <v>31.040333303609955</v>
      </c>
      <c r="L628" s="74">
        <f t="shared" si="237"/>
        <v>2.036625882702861</v>
      </c>
      <c r="M628" s="74">
        <f t="shared" si="231"/>
        <v>3.569901782381449</v>
      </c>
      <c r="N628" s="74">
        <f t="shared" si="238"/>
        <v>-0.0704082021850964</v>
      </c>
      <c r="O628" s="74">
        <f t="shared" si="239"/>
        <v>53.900998762298414</v>
      </c>
      <c r="P628" s="74">
        <f t="shared" si="240"/>
        <v>0.3113204158527599</v>
      </c>
    </row>
    <row r="629" spans="2:16" ht="13.5">
      <c r="B629" s="74">
        <f t="shared" si="232"/>
        <v>42.49930851106402</v>
      </c>
      <c r="C629" s="70">
        <f t="shared" si="241"/>
        <v>56.161</v>
      </c>
      <c r="D629" s="70">
        <f>D628+J601</f>
        <v>84</v>
      </c>
      <c r="E629" s="74">
        <f t="shared" si="233"/>
        <v>0.9801943612125354</v>
      </c>
      <c r="F629" s="74">
        <f t="shared" si="234"/>
        <v>1.4660765716752369</v>
      </c>
      <c r="G629" s="74">
        <f t="shared" si="235"/>
        <v>101.48601230194029</v>
      </c>
      <c r="H629" s="74">
        <f t="shared" si="236"/>
        <v>15.910153613341771</v>
      </c>
      <c r="I629" s="74">
        <f t="shared" si="242"/>
        <v>15.910153613341771</v>
      </c>
      <c r="J629" s="74">
        <f t="shared" si="229"/>
        <v>12.128168042573405</v>
      </c>
      <c r="K629" s="74">
        <f t="shared" si="243"/>
        <v>29.990563968899536</v>
      </c>
      <c r="L629" s="74">
        <f t="shared" si="237"/>
        <v>2.0540791752228045</v>
      </c>
      <c r="M629" s="74">
        <f t="shared" si="231"/>
        <v>3.602054296824678</v>
      </c>
      <c r="N629" s="74">
        <f t="shared" si="238"/>
        <v>-0.1338838050927462</v>
      </c>
      <c r="O629" s="74">
        <f t="shared" si="239"/>
        <v>52.5320343164105</v>
      </c>
      <c r="P629" s="74">
        <f t="shared" si="240"/>
        <v>0.3386154857651715</v>
      </c>
    </row>
    <row r="630" spans="2:16" ht="13.5">
      <c r="B630" s="74">
        <f t="shared" si="232"/>
        <v>41.93375523389342</v>
      </c>
      <c r="C630" s="70">
        <f t="shared" si="241"/>
        <v>56.161</v>
      </c>
      <c r="D630" s="70">
        <f>D629+J601</f>
        <v>85</v>
      </c>
      <c r="E630" s="74">
        <f t="shared" si="233"/>
        <v>0.9801943612125354</v>
      </c>
      <c r="F630" s="74">
        <f t="shared" si="234"/>
        <v>1.4835298641951802</v>
      </c>
      <c r="G630" s="74">
        <f t="shared" si="235"/>
        <v>101.48601230194029</v>
      </c>
      <c r="H630" s="74">
        <f t="shared" si="236"/>
        <v>13.24359644123674</v>
      </c>
      <c r="I630" s="74">
        <f t="shared" si="242"/>
        <v>13.24359644123674</v>
      </c>
      <c r="J630" s="74">
        <f t="shared" si="229"/>
        <v>9.956756386451493</v>
      </c>
      <c r="K630" s="74">
        <f t="shared" si="243"/>
        <v>28.944639396851734</v>
      </c>
      <c r="L630" s="74">
        <f t="shared" si="237"/>
        <v>2.0715324677427476</v>
      </c>
      <c r="M630" s="74">
        <f t="shared" si="231"/>
        <v>3.6359088404790922</v>
      </c>
      <c r="N630" s="74">
        <f t="shared" si="238"/>
        <v>-0.1985330643260647</v>
      </c>
      <c r="O630" s="74">
        <f t="shared" si="239"/>
        <v>51.1916628008798</v>
      </c>
      <c r="P630" s="74">
        <f t="shared" si="240"/>
        <v>0.3669737161282842</v>
      </c>
    </row>
    <row r="631" spans="2:16" ht="13.5">
      <c r="B631" s="74">
        <f t="shared" si="232"/>
        <v>41.35050460687896</v>
      </c>
      <c r="C631" s="70">
        <f t="shared" si="241"/>
        <v>56.161</v>
      </c>
      <c r="D631" s="70">
        <f>D630+J601</f>
        <v>86</v>
      </c>
      <c r="E631" s="74">
        <f t="shared" si="233"/>
        <v>0.9801943612125354</v>
      </c>
      <c r="F631" s="74">
        <f t="shared" si="234"/>
        <v>1.5009831567151233</v>
      </c>
      <c r="G631" s="74">
        <f t="shared" si="235"/>
        <v>101.48601230194029</v>
      </c>
      <c r="H631" s="74">
        <f t="shared" si="236"/>
        <v>10.585171157948913</v>
      </c>
      <c r="I631" s="74">
        <f t="shared" si="242"/>
        <v>10.585171157948913</v>
      </c>
      <c r="J631" s="74">
        <f t="shared" si="229"/>
        <v>7.743460086500027</v>
      </c>
      <c r="K631" s="74">
        <f t="shared" si="243"/>
        <v>27.90190445914594</v>
      </c>
      <c r="L631" s="74">
        <f t="shared" si="237"/>
        <v>2.0889857602626907</v>
      </c>
      <c r="M631" s="74">
        <f t="shared" si="231"/>
        <v>3.6715347939252476</v>
      </c>
      <c r="N631" s="74">
        <f t="shared" si="238"/>
        <v>-0.26442935158799213</v>
      </c>
      <c r="O631" s="74">
        <f t="shared" si="239"/>
        <v>49.877720836510825</v>
      </c>
      <c r="P631" s="74">
        <f t="shared" si="240"/>
        <v>0.39637096349269024</v>
      </c>
    </row>
    <row r="632" spans="2:16" ht="13.5">
      <c r="B632" s="74">
        <f t="shared" si="232"/>
        <v>40.74942308673464</v>
      </c>
      <c r="C632" s="70">
        <f t="shared" si="241"/>
        <v>56.161</v>
      </c>
      <c r="D632" s="70">
        <f>D631+J601</f>
        <v>87</v>
      </c>
      <c r="E632" s="74">
        <f t="shared" si="233"/>
        <v>0.9801943612125354</v>
      </c>
      <c r="F632" s="74">
        <f t="shared" si="234"/>
        <v>1.5184364492350666</v>
      </c>
      <c r="G632" s="74">
        <f t="shared" si="235"/>
        <v>101.48601230194029</v>
      </c>
      <c r="H632" s="74">
        <f t="shared" si="236"/>
        <v>7.933227588970383</v>
      </c>
      <c r="I632" s="74">
        <f t="shared" si="242"/>
        <v>7.933227588970383</v>
      </c>
      <c r="J632" s="74">
        <f t="shared" si="229"/>
        <v>5.4856666823648865</v>
      </c>
      <c r="K632" s="74">
        <f t="shared" si="243"/>
        <v>26.861711894930572</v>
      </c>
      <c r="L632" s="74">
        <f t="shared" si="237"/>
        <v>2.106439052782634</v>
      </c>
      <c r="M632" s="74">
        <f t="shared" si="231"/>
        <v>3.7090067869585464</v>
      </c>
      <c r="N632" s="74">
        <f t="shared" si="238"/>
        <v>-0.3316504474440855</v>
      </c>
      <c r="O632" s="74">
        <f t="shared" si="239"/>
        <v>48.58811629286409</v>
      </c>
      <c r="P632" s="74">
        <f t="shared" si="240"/>
        <v>0.4267757916822458</v>
      </c>
    </row>
    <row r="633" spans="2:16" ht="13.5">
      <c r="B633" s="74">
        <f t="shared" si="232"/>
        <v>40.13033131211769</v>
      </c>
      <c r="C633" s="70">
        <f t="shared" si="241"/>
        <v>56.161</v>
      </c>
      <c r="D633" s="70">
        <f>D632+J601</f>
        <v>88</v>
      </c>
      <c r="E633" s="74">
        <f t="shared" si="233"/>
        <v>0.9801943612125354</v>
      </c>
      <c r="F633" s="74">
        <f t="shared" si="234"/>
        <v>1.53588974175501</v>
      </c>
      <c r="G633" s="74">
        <f t="shared" si="235"/>
        <v>101.48601230194029</v>
      </c>
      <c r="H633" s="74">
        <f t="shared" si="236"/>
        <v>5.286131481813329</v>
      </c>
      <c r="I633" s="74">
        <f t="shared" si="242"/>
        <v>5.286131481813329</v>
      </c>
      <c r="J633" s="74">
        <f t="shared" si="229"/>
        <v>3.180602221976846</v>
      </c>
      <c r="K633" s="74">
        <f t="shared" si="243"/>
        <v>25.823420688572526</v>
      </c>
      <c r="L633" s="74">
        <f t="shared" si="237"/>
        <v>2.1238923453025773</v>
      </c>
      <c r="M633" s="74">
        <f t="shared" si="231"/>
        <v>3.7484051255774977</v>
      </c>
      <c r="N633" s="74">
        <f t="shared" si="238"/>
        <v>-0.4002789405393484</v>
      </c>
      <c r="O633" s="74">
        <f t="shared" si="239"/>
        <v>47.32082000301488</v>
      </c>
      <c r="P633" s="74">
        <f t="shared" si="240"/>
        <v>0.45814879446063844</v>
      </c>
    </row>
    <row r="634" spans="2:16" ht="13.5">
      <c r="B634" s="74">
        <f t="shared" si="232"/>
        <v>39.49300437420536</v>
      </c>
      <c r="C634" s="70">
        <f t="shared" si="241"/>
        <v>56.161</v>
      </c>
      <c r="D634" s="70">
        <f>D633+J601</f>
        <v>89</v>
      </c>
      <c r="E634" s="74">
        <f t="shared" si="233"/>
        <v>0.9801943612125354</v>
      </c>
      <c r="F634" s="74">
        <f t="shared" si="234"/>
        <v>1.5533430342749535</v>
      </c>
      <c r="G634" s="74">
        <f t="shared" si="235"/>
        <v>101.48601230194029</v>
      </c>
      <c r="H634" s="74">
        <f t="shared" si="236"/>
        <v>2.642260453508916</v>
      </c>
      <c r="I634" s="74">
        <f t="shared" si="242"/>
        <v>2.642260453508916</v>
      </c>
      <c r="J634" s="74">
        <f t="shared" si="229"/>
        <v>0.8253164850416557</v>
      </c>
      <c r="K634" s="74">
        <f t="shared" si="243"/>
        <v>24.78639448011291</v>
      </c>
      <c r="L634" s="74">
        <f t="shared" si="237"/>
        <v>2.141345637822521</v>
      </c>
      <c r="M634" s="74">
        <f t="shared" si="231"/>
        <v>3.7898162648555984</v>
      </c>
      <c r="N634" s="74">
        <f t="shared" si="238"/>
        <v>-0.47040266753803595</v>
      </c>
      <c r="O634" s="74">
        <f t="shared" si="239"/>
        <v>46.073857859319105</v>
      </c>
      <c r="P634" s="74">
        <f t="shared" si="240"/>
        <v>0.4904420539913997</v>
      </c>
    </row>
    <row r="635" spans="2:16" ht="13.5">
      <c r="B635" s="74">
        <f t="shared" si="232"/>
        <v>38.83717183941432</v>
      </c>
      <c r="C635" s="70">
        <f t="shared" si="241"/>
        <v>56.161</v>
      </c>
      <c r="D635" s="70">
        <f>D634+J601</f>
        <v>90</v>
      </c>
      <c r="E635" s="74">
        <f t="shared" si="233"/>
        <v>0.9801943612125354</v>
      </c>
      <c r="F635" s="74">
        <f t="shared" si="234"/>
        <v>1.5707963267948966</v>
      </c>
      <c r="G635" s="74">
        <f t="shared" si="235"/>
        <v>101.48601230194029</v>
      </c>
      <c r="H635" s="74">
        <f t="shared" si="236"/>
        <v>9.272842368089618E-15</v>
      </c>
      <c r="I635" s="74">
        <f t="shared" si="242"/>
        <v>9.272842368089618E-15</v>
      </c>
      <c r="J635" s="74">
        <f t="shared" si="229"/>
        <v>-1.5833333333333073</v>
      </c>
      <c r="K635" s="74">
        <f t="shared" si="243"/>
        <v>23.750000000000007</v>
      </c>
      <c r="L635" s="74">
        <f t="shared" si="237"/>
        <v>2.158798930342464</v>
      </c>
      <c r="M635" s="74">
        <f t="shared" si="231"/>
        <v>3.8333333333333317</v>
      </c>
      <c r="N635" s="74">
        <f t="shared" si="238"/>
        <v>-0.5421151989096857</v>
      </c>
      <c r="O635" s="74">
        <f t="shared" si="239"/>
        <v>44.84530323209922</v>
      </c>
      <c r="P635" s="74">
        <f t="shared" si="240"/>
        <v>0.5235987755982986</v>
      </c>
    </row>
    <row r="636" spans="2:16" ht="13.5">
      <c r="B636" s="74">
        <f t="shared" si="232"/>
        <v>41.950624021612626</v>
      </c>
      <c r="C636" s="70">
        <f>C635+J600</f>
        <v>56.545</v>
      </c>
      <c r="D636" s="70">
        <f>D605</f>
        <v>60</v>
      </c>
      <c r="E636" s="74">
        <f t="shared" si="233"/>
        <v>0.9868964255401936</v>
      </c>
      <c r="F636" s="74">
        <f t="shared" si="234"/>
        <v>1.0471975511965976</v>
      </c>
      <c r="G636" s="74">
        <f t="shared" si="235"/>
        <v>100.0220413154233</v>
      </c>
      <c r="H636" s="74">
        <f t="shared" si="236"/>
        <v>56.61327536344993</v>
      </c>
      <c r="I636" s="74">
        <f t="shared" si="242"/>
        <v>87.39639699857963</v>
      </c>
      <c r="J636" s="74">
        <f t="shared" si="229"/>
        <v>56.61327536344993</v>
      </c>
      <c r="K636" s="74">
        <f t="shared" si="243"/>
        <v>58.03017223313404</v>
      </c>
      <c r="L636" s="74">
        <f t="shared" si="237"/>
        <v>1.6352001547441652</v>
      </c>
      <c r="M636" s="74">
        <f t="shared" si="231"/>
        <v>3.196152422706631</v>
      </c>
      <c r="N636" s="74">
        <f t="shared" si="238"/>
        <v>1.1905676074715958</v>
      </c>
      <c r="O636" s="74">
        <f t="shared" si="239"/>
        <v>83.90124804322527</v>
      </c>
      <c r="P636" s="74">
        <f t="shared" si="240"/>
        <v>0.365355180922817</v>
      </c>
    </row>
    <row r="637" spans="2:16" ht="13.5">
      <c r="B637" s="74">
        <f t="shared" si="232"/>
        <v>42.263548980976964</v>
      </c>
      <c r="C637" s="70">
        <f aca="true" t="shared" si="244" ref="C637:C666">C636</f>
        <v>56.545</v>
      </c>
      <c r="D637" s="70">
        <f aca="true" t="shared" si="245" ref="D637:D666">D606</f>
        <v>61</v>
      </c>
      <c r="E637" s="74">
        <f t="shared" si="233"/>
        <v>0.9868964255401936</v>
      </c>
      <c r="F637" s="74">
        <f t="shared" si="234"/>
        <v>1.064650843716541</v>
      </c>
      <c r="G637" s="74">
        <f t="shared" si="235"/>
        <v>100.0220413154233</v>
      </c>
      <c r="H637" s="74">
        <f t="shared" si="236"/>
        <v>54.91741842603781</v>
      </c>
      <c r="I637" s="74">
        <f t="shared" si="242"/>
        <v>83.90853266366291</v>
      </c>
      <c r="J637" s="74">
        <f aca="true" t="shared" si="246" ref="J637:J670">0.5*$J$18*N637*$D$3+$G$18</f>
        <v>54.91741842603781</v>
      </c>
      <c r="K637" s="74">
        <f t="shared" si="243"/>
        <v>56.662099930008154</v>
      </c>
      <c r="L637" s="74">
        <f t="shared" si="237"/>
        <v>1.6526534472641083</v>
      </c>
      <c r="M637" s="74">
        <f aca="true" t="shared" si="247" ref="M637:M668">J$18/SIN(L637)*SIN(J$19)</f>
        <v>3.200241894286732</v>
      </c>
      <c r="N637" s="74">
        <f t="shared" si="238"/>
        <v>1.1400769994561701</v>
      </c>
      <c r="O637" s="74">
        <f t="shared" si="239"/>
        <v>82.05907687185619</v>
      </c>
      <c r="P637" s="74">
        <f t="shared" si="240"/>
        <v>0.34986510082641314</v>
      </c>
    </row>
    <row r="638" spans="2:16" ht="13.5">
      <c r="B638" s="74">
        <f t="shared" si="232"/>
        <v>42.54167112531147</v>
      </c>
      <c r="C638" s="70">
        <f t="shared" si="244"/>
        <v>56.545</v>
      </c>
      <c r="D638" s="70">
        <f t="shared" si="245"/>
        <v>62</v>
      </c>
      <c r="E638" s="74">
        <f t="shared" si="233"/>
        <v>0.9868964255401936</v>
      </c>
      <c r="F638" s="74">
        <f t="shared" si="234"/>
        <v>1.0821041362364843</v>
      </c>
      <c r="G638" s="74">
        <f t="shared" si="235"/>
        <v>100.0220413154233</v>
      </c>
      <c r="H638" s="74">
        <f t="shared" si="236"/>
        <v>53.21669751699319</v>
      </c>
      <c r="I638" s="74">
        <f t="shared" si="242"/>
        <v>80.48751521775635</v>
      </c>
      <c r="J638" s="74">
        <f t="shared" si="246"/>
        <v>53.21669751699319</v>
      </c>
      <c r="K638" s="74">
        <f t="shared" si="243"/>
        <v>55.3202475049003</v>
      </c>
      <c r="L638" s="74">
        <f t="shared" si="237"/>
        <v>1.6701067397840519</v>
      </c>
      <c r="M638" s="74">
        <f t="shared" si="247"/>
        <v>3.205319466443784</v>
      </c>
      <c r="N638" s="74">
        <f t="shared" si="238"/>
        <v>1.0894415768165406</v>
      </c>
      <c r="O638" s="74">
        <f t="shared" si="239"/>
        <v>80.27953312259636</v>
      </c>
      <c r="P638" s="74">
        <f t="shared" si="240"/>
        <v>0.33614329485857125</v>
      </c>
    </row>
    <row r="639" spans="2:16" ht="13.5">
      <c r="B639" s="74">
        <f t="shared" si="232"/>
        <v>42.78614409690509</v>
      </c>
      <c r="C639" s="70">
        <f t="shared" si="244"/>
        <v>56.545</v>
      </c>
      <c r="D639" s="70">
        <f t="shared" si="245"/>
        <v>63</v>
      </c>
      <c r="E639" s="74">
        <f t="shared" si="233"/>
        <v>0.9868964255401936</v>
      </c>
      <c r="F639" s="74">
        <f t="shared" si="234"/>
        <v>1.0995574287564276</v>
      </c>
      <c r="G639" s="74">
        <f t="shared" si="235"/>
        <v>100.0220413154233</v>
      </c>
      <c r="H639" s="74">
        <f t="shared" si="236"/>
        <v>51.51005054407396</v>
      </c>
      <c r="I639" s="74">
        <f t="shared" si="242"/>
        <v>77.12941491721917</v>
      </c>
      <c r="J639" s="74">
        <f t="shared" si="246"/>
        <v>51.51005054407396</v>
      </c>
      <c r="K639" s="74">
        <f t="shared" si="243"/>
        <v>54.00307356373172</v>
      </c>
      <c r="L639" s="74">
        <f t="shared" si="237"/>
        <v>1.687560032303995</v>
      </c>
      <c r="M639" s="74">
        <f t="shared" si="247"/>
        <v>3.2113929525108333</v>
      </c>
      <c r="N639" s="74">
        <f t="shared" si="238"/>
        <v>1.0386297179684278</v>
      </c>
      <c r="O639" s="74">
        <f t="shared" si="239"/>
        <v>78.55871751044172</v>
      </c>
      <c r="P639" s="74">
        <f t="shared" si="240"/>
        <v>0.32412110431290075</v>
      </c>
    </row>
    <row r="640" spans="2:16" ht="13.5">
      <c r="B640" s="74">
        <f t="shared" si="232"/>
        <v>42.99799860565947</v>
      </c>
      <c r="C640" s="70">
        <f t="shared" si="244"/>
        <v>56.545</v>
      </c>
      <c r="D640" s="70">
        <f t="shared" si="245"/>
        <v>64</v>
      </c>
      <c r="E640" s="74">
        <f t="shared" si="233"/>
        <v>0.9868964255401936</v>
      </c>
      <c r="F640" s="74">
        <f t="shared" si="234"/>
        <v>1.117010721276371</v>
      </c>
      <c r="G640" s="74">
        <f t="shared" si="235"/>
        <v>100.0220413154233</v>
      </c>
      <c r="H640" s="74">
        <f t="shared" si="236"/>
        <v>49.7964007486329</v>
      </c>
      <c r="I640" s="74">
        <f t="shared" si="242"/>
        <v>73.83052059415728</v>
      </c>
      <c r="J640" s="74">
        <f t="shared" si="246"/>
        <v>49.7964007486329</v>
      </c>
      <c r="K640" s="74">
        <f t="shared" si="243"/>
        <v>52.70912244609802</v>
      </c>
      <c r="L640" s="74">
        <f t="shared" si="237"/>
        <v>1.7050133248239385</v>
      </c>
      <c r="M640" s="74">
        <f t="shared" si="247"/>
        <v>3.21847173736185</v>
      </c>
      <c r="N640" s="74">
        <f t="shared" si="238"/>
        <v>0.9876093646658881</v>
      </c>
      <c r="O640" s="74">
        <f t="shared" si="239"/>
        <v>76.89296187198275</v>
      </c>
      <c r="P640" s="74">
        <f t="shared" si="240"/>
        <v>0.31373547899230486</v>
      </c>
    </row>
    <row r="641" spans="2:16" ht="13.5">
      <c r="B641" s="74">
        <f t="shared" si="232"/>
        <v>43.17815016208939</v>
      </c>
      <c r="C641" s="70">
        <f t="shared" si="244"/>
        <v>56.545</v>
      </c>
      <c r="D641" s="70">
        <f t="shared" si="245"/>
        <v>65</v>
      </c>
      <c r="E641" s="74">
        <f t="shared" si="233"/>
        <v>0.9868964255401936</v>
      </c>
      <c r="F641" s="74">
        <f t="shared" si="234"/>
        <v>1.1344640137963142</v>
      </c>
      <c r="G641" s="74">
        <f t="shared" si="235"/>
        <v>100.0220413154233</v>
      </c>
      <c r="H641" s="74">
        <f t="shared" si="236"/>
        <v>48.07465394252364</v>
      </c>
      <c r="I641" s="74">
        <f t="shared" si="242"/>
        <v>70.58732175321292</v>
      </c>
      <c r="J641" s="74">
        <f t="shared" si="246"/>
        <v>48.07465394252364</v>
      </c>
      <c r="K641" s="74">
        <f t="shared" si="243"/>
        <v>51.43701720295304</v>
      </c>
      <c r="L641" s="74">
        <f t="shared" si="237"/>
        <v>1.7224666173438816</v>
      </c>
      <c r="M641" s="74">
        <f t="shared" si="247"/>
        <v>3.2265668130425462</v>
      </c>
      <c r="N641" s="74">
        <f t="shared" si="238"/>
        <v>0.9363479397359457</v>
      </c>
      <c r="O641" s="74">
        <f t="shared" si="239"/>
        <v>75.27880754094133</v>
      </c>
      <c r="P641" s="74">
        <f t="shared" si="240"/>
        <v>0.30492942183245686</v>
      </c>
    </row>
    <row r="642" spans="2:16" ht="13.5">
      <c r="B642" s="74">
        <f t="shared" si="232"/>
        <v>43.327405849960556</v>
      </c>
      <c r="C642" s="70">
        <f t="shared" si="244"/>
        <v>56.545</v>
      </c>
      <c r="D642" s="70">
        <f t="shared" si="245"/>
        <v>66</v>
      </c>
      <c r="E642" s="74">
        <f t="shared" si="233"/>
        <v>0.9868964255401936</v>
      </c>
      <c r="F642" s="74">
        <f t="shared" si="234"/>
        <v>1.1519173063162575</v>
      </c>
      <c r="G642" s="74">
        <f t="shared" si="235"/>
        <v>100.0220413154233</v>
      </c>
      <c r="H642" s="74">
        <f t="shared" si="236"/>
        <v>46.34369565210348</v>
      </c>
      <c r="I642" s="74">
        <f t="shared" si="242"/>
        <v>67.39649223857965</v>
      </c>
      <c r="J642" s="74">
        <f t="shared" si="246"/>
        <v>46.34369565210348</v>
      </c>
      <c r="K642" s="74">
        <f t="shared" si="243"/>
        <v>50.18545319019432</v>
      </c>
      <c r="L642" s="74">
        <f t="shared" si="237"/>
        <v>1.7399199098638252</v>
      </c>
      <c r="M642" s="74">
        <f t="shared" si="247"/>
        <v>3.235690820800044</v>
      </c>
      <c r="N642" s="74">
        <f t="shared" si="238"/>
        <v>0.8848122620472225</v>
      </c>
      <c r="O642" s="74">
        <f t="shared" si="239"/>
        <v>73.71298562013169</v>
      </c>
      <c r="P642" s="74">
        <f t="shared" si="240"/>
        <v>0.2976522518144382</v>
      </c>
    </row>
    <row r="643" spans="2:16" ht="13.5">
      <c r="B643" s="74">
        <f t="shared" si="232"/>
        <v>43.446470227941994</v>
      </c>
      <c r="C643" s="70">
        <f t="shared" si="244"/>
        <v>56.545</v>
      </c>
      <c r="D643" s="70">
        <f t="shared" si="245"/>
        <v>67</v>
      </c>
      <c r="E643" s="74">
        <f t="shared" si="233"/>
        <v>0.9868964255401936</v>
      </c>
      <c r="F643" s="74">
        <f t="shared" si="234"/>
        <v>1.1693705988362006</v>
      </c>
      <c r="G643" s="74">
        <f t="shared" si="235"/>
        <v>100.0220413154233</v>
      </c>
      <c r="H643" s="74">
        <f t="shared" si="236"/>
        <v>44.602388153158174</v>
      </c>
      <c r="I643" s="74">
        <f t="shared" si="242"/>
        <v>64.25487530372895</v>
      </c>
      <c r="J643" s="74">
        <f t="shared" si="246"/>
        <v>44.602388153158174</v>
      </c>
      <c r="K643" s="74">
        <f t="shared" si="243"/>
        <v>48.95319221244529</v>
      </c>
      <c r="L643" s="74">
        <f t="shared" si="237"/>
        <v>1.7573732023837683</v>
      </c>
      <c r="M643" s="74">
        <f t="shared" si="247"/>
        <v>3.2458580998131934</v>
      </c>
      <c r="N643" s="74">
        <f t="shared" si="238"/>
        <v>0.8329684582310031</v>
      </c>
      <c r="O643" s="74">
        <f t="shared" si="239"/>
        <v>72.19239892083131</v>
      </c>
      <c r="P643" s="74">
        <f t="shared" si="240"/>
        <v>0.2918597326747194</v>
      </c>
    </row>
    <row r="644" spans="2:16" ht="13.5">
      <c r="B644" s="74">
        <f t="shared" si="232"/>
        <v>43.53595043664317</v>
      </c>
      <c r="C644" s="70">
        <f t="shared" si="244"/>
        <v>56.545</v>
      </c>
      <c r="D644" s="70">
        <f t="shared" si="245"/>
        <v>68</v>
      </c>
      <c r="E644" s="74">
        <f t="shared" si="233"/>
        <v>0.9868964255401936</v>
      </c>
      <c r="F644" s="74">
        <f t="shared" si="234"/>
        <v>1.1868238913561442</v>
      </c>
      <c r="G644" s="74">
        <f t="shared" si="235"/>
        <v>100.0220413154233</v>
      </c>
      <c r="H644" s="74">
        <f t="shared" si="236"/>
        <v>42.84956737955771</v>
      </c>
      <c r="I644" s="74">
        <f t="shared" si="242"/>
        <v>61.15946993579685</v>
      </c>
      <c r="J644" s="74">
        <f t="shared" si="246"/>
        <v>42.84956737955771</v>
      </c>
      <c r="K644" s="74">
        <f t="shared" si="243"/>
        <v>47.739057158962424</v>
      </c>
      <c r="L644" s="74">
        <f t="shared" si="237"/>
        <v>1.7748264949037118</v>
      </c>
      <c r="M644" s="74">
        <f t="shared" si="247"/>
        <v>3.2570847429771757</v>
      </c>
      <c r="N644" s="74">
        <f t="shared" si="238"/>
        <v>0.7807818706428962</v>
      </c>
      <c r="O644" s="74">
        <f t="shared" si="239"/>
        <v>70.71410536710053</v>
      </c>
      <c r="P644" s="74">
        <f t="shared" si="240"/>
        <v>0.2875141049789333</v>
      </c>
    </row>
    <row r="645" spans="2:16" ht="13.5">
      <c r="B645" s="74">
        <f t="shared" si="232"/>
        <v>43.59636057598298</v>
      </c>
      <c r="C645" s="70">
        <f t="shared" si="244"/>
        <v>56.545</v>
      </c>
      <c r="D645" s="70">
        <f t="shared" si="245"/>
        <v>69</v>
      </c>
      <c r="E645" s="74">
        <f t="shared" si="233"/>
        <v>0.9868964255401936</v>
      </c>
      <c r="F645" s="74">
        <f t="shared" si="234"/>
        <v>1.2042771838760873</v>
      </c>
      <c r="G645" s="74">
        <f t="shared" si="235"/>
        <v>100.0220413154233</v>
      </c>
      <c r="H645" s="74">
        <f t="shared" si="236"/>
        <v>41.08403968726031</v>
      </c>
      <c r="I645" s="74">
        <f t="shared" si="242"/>
        <v>58.107418303486085</v>
      </c>
      <c r="J645" s="74">
        <f t="shared" si="246"/>
        <v>41.08403968726031</v>
      </c>
      <c r="K645" s="74">
        <f t="shared" si="243"/>
        <v>46.54192708022782</v>
      </c>
      <c r="L645" s="74">
        <f t="shared" si="237"/>
        <v>1.792279787423655</v>
      </c>
      <c r="M645" s="74">
        <f t="shared" si="247"/>
        <v>3.2693886601519666</v>
      </c>
      <c r="N645" s="74">
        <f t="shared" si="238"/>
        <v>0.7282169610177962</v>
      </c>
      <c r="O645" s="74">
        <f t="shared" si="239"/>
        <v>69.2753026852589</v>
      </c>
      <c r="P645" s="74">
        <f t="shared" si="240"/>
        <v>0.284584050519181</v>
      </c>
    </row>
    <row r="646" spans="2:16" ht="13.5">
      <c r="B646" s="74">
        <f t="shared" si="232"/>
        <v>43.628125407730835</v>
      </c>
      <c r="C646" s="70">
        <f t="shared" si="244"/>
        <v>56.545</v>
      </c>
      <c r="D646" s="70">
        <f t="shared" si="245"/>
        <v>70</v>
      </c>
      <c r="E646" s="74">
        <f t="shared" si="233"/>
        <v>0.9868964255401936</v>
      </c>
      <c r="F646" s="74">
        <f t="shared" si="234"/>
        <v>1.2217304763960306</v>
      </c>
      <c r="G646" s="74">
        <f t="shared" si="235"/>
        <v>100.0220413154233</v>
      </c>
      <c r="H646" s="74">
        <f t="shared" si="236"/>
        <v>39.30457845389725</v>
      </c>
      <c r="I646" s="74">
        <f t="shared" si="242"/>
        <v>55.09599421204639</v>
      </c>
      <c r="J646" s="74">
        <f t="shared" si="246"/>
        <v>39.30457845389725</v>
      </c>
      <c r="K646" s="74">
        <f t="shared" si="243"/>
        <v>45.360732659555765</v>
      </c>
      <c r="L646" s="74">
        <f t="shared" si="237"/>
        <v>1.809733079943598</v>
      </c>
      <c r="M646" s="74">
        <f t="shared" si="247"/>
        <v>3.2827896493451227</v>
      </c>
      <c r="N646" s="74">
        <f t="shared" si="238"/>
        <v>0.6752372092296027</v>
      </c>
      <c r="O646" s="74">
        <f t="shared" si="239"/>
        <v>67.87331421806101</v>
      </c>
      <c r="P646" s="74">
        <f t="shared" si="240"/>
        <v>0.28304461068656095</v>
      </c>
    </row>
    <row r="647" spans="2:16" ht="13.5">
      <c r="B647" s="74">
        <f t="shared" si="232"/>
        <v>43.63158342904374</v>
      </c>
      <c r="C647" s="70">
        <f t="shared" si="244"/>
        <v>56.545</v>
      </c>
      <c r="D647" s="70">
        <f t="shared" si="245"/>
        <v>71</v>
      </c>
      <c r="E647" s="74">
        <f t="shared" si="233"/>
        <v>0.9868964255401936</v>
      </c>
      <c r="F647" s="74">
        <f t="shared" si="234"/>
        <v>1.239183768915974</v>
      </c>
      <c r="G647" s="74">
        <f t="shared" si="235"/>
        <v>100.0220413154233</v>
      </c>
      <c r="H647" s="74">
        <f t="shared" si="236"/>
        <v>37.50992049257642</v>
      </c>
      <c r="I647" s="74">
        <f t="shared" si="242"/>
        <v>52.12259246172309</v>
      </c>
      <c r="J647" s="74">
        <f t="shared" si="246"/>
        <v>37.50992049257642</v>
      </c>
      <c r="K647" s="74">
        <f t="shared" si="243"/>
        <v>44.19445203907388</v>
      </c>
      <c r="L647" s="74">
        <f t="shared" si="237"/>
        <v>1.8271863724635415</v>
      </c>
      <c r="M647" s="74">
        <f t="shared" si="247"/>
        <v>3.297309476365921</v>
      </c>
      <c r="N647" s="74">
        <f t="shared" si="238"/>
        <v>0.6218050065196917</v>
      </c>
      <c r="O647" s="74">
        <f t="shared" si="239"/>
        <v>66.50557571958217</v>
      </c>
      <c r="P647" s="74">
        <f t="shared" si="240"/>
        <v>0.2828770743215567</v>
      </c>
    </row>
    <row r="648" spans="2:16" ht="13.5">
      <c r="B648" s="74">
        <f t="shared" si="232"/>
        <v>43.60698935470122</v>
      </c>
      <c r="C648" s="70">
        <f t="shared" si="244"/>
        <v>56.545</v>
      </c>
      <c r="D648" s="70">
        <f t="shared" si="245"/>
        <v>72</v>
      </c>
      <c r="E648" s="74">
        <f t="shared" si="233"/>
        <v>0.9868964255401936</v>
      </c>
      <c r="F648" s="74">
        <f t="shared" si="234"/>
        <v>1.2566370614359172</v>
      </c>
      <c r="G648" s="74">
        <f t="shared" si="235"/>
        <v>100.0220413154233</v>
      </c>
      <c r="H648" s="74">
        <f t="shared" si="236"/>
        <v>35.698762256707205</v>
      </c>
      <c r="I648" s="74">
        <f t="shared" si="242"/>
        <v>49.18471901725621</v>
      </c>
      <c r="J648" s="74">
        <f t="shared" si="246"/>
        <v>35.698762256707205</v>
      </c>
      <c r="K648" s="74">
        <f t="shared" si="243"/>
        <v>43.042106963828815</v>
      </c>
      <c r="L648" s="74">
        <f t="shared" si="237"/>
        <v>1.8446396649834846</v>
      </c>
      <c r="M648" s="74">
        <f t="shared" si="247"/>
        <v>3.3129719635610875</v>
      </c>
      <c r="N648" s="74">
        <f t="shared" si="238"/>
        <v>0.5678815425034818</v>
      </c>
      <c r="O648" s="74">
        <f t="shared" si="239"/>
        <v>65.16962300079659</v>
      </c>
      <c r="P648" s="74">
        <f t="shared" si="240"/>
        <v>0.28406884536624366</v>
      </c>
    </row>
    <row r="649" spans="2:16" ht="13.5">
      <c r="B649" s="74">
        <f t="shared" si="232"/>
        <v>43.55451603834459</v>
      </c>
      <c r="C649" s="70">
        <f t="shared" si="244"/>
        <v>56.545</v>
      </c>
      <c r="D649" s="70">
        <f t="shared" si="245"/>
        <v>73</v>
      </c>
      <c r="E649" s="74">
        <f t="shared" si="233"/>
        <v>0.9868964255401936</v>
      </c>
      <c r="F649" s="74">
        <f t="shared" si="234"/>
        <v>1.2740903539558606</v>
      </c>
      <c r="G649" s="74">
        <f t="shared" si="235"/>
        <v>100.0220413154233</v>
      </c>
      <c r="H649" s="74">
        <f t="shared" si="236"/>
        <v>33.86975581055276</v>
      </c>
      <c r="I649" s="74">
        <f t="shared" si="242"/>
        <v>46.27998190580472</v>
      </c>
      <c r="J649" s="74">
        <f t="shared" si="246"/>
        <v>33.86975581055276</v>
      </c>
      <c r="K649" s="74">
        <f t="shared" si="243"/>
        <v>41.90275921160796</v>
      </c>
      <c r="L649" s="74">
        <f t="shared" si="237"/>
        <v>1.8620929575034282</v>
      </c>
      <c r="M649" s="74">
        <f t="shared" si="247"/>
        <v>3.3298030883232532</v>
      </c>
      <c r="N649" s="74">
        <f t="shared" si="238"/>
        <v>0.5134266852020202</v>
      </c>
      <c r="O649" s="74">
        <f t="shared" si="239"/>
        <v>63.86308030763188</v>
      </c>
      <c r="P649" s="74">
        <f t="shared" si="240"/>
        <v>0.2866132962305429</v>
      </c>
    </row>
    <row r="650" spans="2:16" ht="13.5">
      <c r="B650" s="74">
        <f t="shared" si="232"/>
        <v>43.474255856206966</v>
      </c>
      <c r="C650" s="70">
        <f t="shared" si="244"/>
        <v>56.545</v>
      </c>
      <c r="D650" s="70">
        <f t="shared" si="245"/>
        <v>74</v>
      </c>
      <c r="E650" s="74">
        <f t="shared" si="233"/>
        <v>0.9868964255401936</v>
      </c>
      <c r="F650" s="74">
        <f t="shared" si="234"/>
        <v>1.2915436464758039</v>
      </c>
      <c r="G650" s="74">
        <f t="shared" si="235"/>
        <v>100.0220413154233</v>
      </c>
      <c r="H650" s="74">
        <f t="shared" si="236"/>
        <v>32.02150453781869</v>
      </c>
      <c r="I650" s="74">
        <f t="shared" si="242"/>
        <v>43.40608276923955</v>
      </c>
      <c r="J650" s="74">
        <f t="shared" si="246"/>
        <v>32.02150453781869</v>
      </c>
      <c r="K650" s="74">
        <f t="shared" si="243"/>
        <v>40.77550727942922</v>
      </c>
      <c r="L650" s="74">
        <f t="shared" si="237"/>
        <v>1.8795462500233713</v>
      </c>
      <c r="M650" s="74">
        <f t="shared" si="247"/>
        <v>3.347831092152982</v>
      </c>
      <c r="N650" s="74">
        <f t="shared" si="238"/>
        <v>0.4583988532741495</v>
      </c>
      <c r="O650" s="74">
        <f t="shared" si="239"/>
        <v>62.583649323164764</v>
      </c>
      <c r="P650" s="74">
        <f t="shared" si="240"/>
        <v>0.2905096089407368</v>
      </c>
    </row>
    <row r="651" spans="2:16" ht="13.5">
      <c r="B651" s="74">
        <f t="shared" si="232"/>
        <v>43.3662215704455</v>
      </c>
      <c r="C651" s="70">
        <f t="shared" si="244"/>
        <v>56.545</v>
      </c>
      <c r="D651" s="70">
        <f t="shared" si="245"/>
        <v>75</v>
      </c>
      <c r="E651" s="74">
        <f t="shared" si="233"/>
        <v>0.9868964255401936</v>
      </c>
      <c r="F651" s="74">
        <f t="shared" si="234"/>
        <v>1.3089969389957472</v>
      </c>
      <c r="G651" s="74">
        <f t="shared" si="235"/>
        <v>100.0220413154233</v>
      </c>
      <c r="H651" s="74">
        <f t="shared" si="236"/>
        <v>30.152558557855457</v>
      </c>
      <c r="I651" s="74">
        <f t="shared" si="242"/>
        <v>40.560809004261195</v>
      </c>
      <c r="J651" s="74">
        <f t="shared" si="246"/>
        <v>30.152558557855457</v>
      </c>
      <c r="K651" s="74">
        <f t="shared" si="243"/>
        <v>39.65948330059791</v>
      </c>
      <c r="L651" s="74">
        <f t="shared" si="237"/>
        <v>1.8969995425433148</v>
      </c>
      <c r="M651" s="74">
        <f t="shared" si="247"/>
        <v>3.3670866011551928</v>
      </c>
      <c r="N651" s="74">
        <f t="shared" si="238"/>
        <v>0.4027548795434824</v>
      </c>
      <c r="O651" s="74">
        <f t="shared" si="239"/>
        <v>61.32909869380068</v>
      </c>
      <c r="P651" s="74">
        <f t="shared" si="240"/>
        <v>0.29576260267758686</v>
      </c>
    </row>
    <row r="652" spans="2:16" ht="13.5">
      <c r="B652" s="74">
        <f t="shared" si="232"/>
        <v>43.23034668313516</v>
      </c>
      <c r="C652" s="70">
        <f t="shared" si="244"/>
        <v>56.545</v>
      </c>
      <c r="D652" s="70">
        <f t="shared" si="245"/>
        <v>76</v>
      </c>
      <c r="E652" s="74">
        <f t="shared" si="233"/>
        <v>0.9868964255401936</v>
      </c>
      <c r="F652" s="74">
        <f t="shared" si="234"/>
        <v>1.3264502315156903</v>
      </c>
      <c r="G652" s="74">
        <f t="shared" si="235"/>
        <v>100.0220413154233</v>
      </c>
      <c r="H652" s="74">
        <f t="shared" si="236"/>
        <v>28.2614098159386</v>
      </c>
      <c r="I652" s="74">
        <f t="shared" si="242"/>
        <v>37.7420264303865</v>
      </c>
      <c r="J652" s="74">
        <f t="shared" si="246"/>
        <v>28.2614098159386</v>
      </c>
      <c r="K652" s="74">
        <f t="shared" si="243"/>
        <v>38.55385016881386</v>
      </c>
      <c r="L652" s="74">
        <f t="shared" si="237"/>
        <v>1.914452835063258</v>
      </c>
      <c r="M652" s="74">
        <f t="shared" si="247"/>
        <v>3.3876027589624966</v>
      </c>
      <c r="N652" s="74">
        <f t="shared" si="238"/>
        <v>0.34644986482172163</v>
      </c>
      <c r="O652" s="74">
        <f t="shared" si="239"/>
        <v>60.097253985923146</v>
      </c>
      <c r="P652" s="74">
        <f t="shared" si="240"/>
        <v>0.3023825430692834</v>
      </c>
    </row>
    <row r="653" spans="2:16" ht="13.5">
      <c r="B653" s="74">
        <f t="shared" si="232"/>
        <v>43.06648528614139</v>
      </c>
      <c r="C653" s="70">
        <f t="shared" si="244"/>
        <v>56.545</v>
      </c>
      <c r="D653" s="70">
        <f t="shared" si="245"/>
        <v>77</v>
      </c>
      <c r="E653" s="74">
        <f t="shared" si="233"/>
        <v>0.9868964255401936</v>
      </c>
      <c r="F653" s="74">
        <f t="shared" si="234"/>
        <v>1.3439035240356338</v>
      </c>
      <c r="G653" s="74">
        <f t="shared" si="235"/>
        <v>100.0220413154233</v>
      </c>
      <c r="H653" s="74">
        <f t="shared" si="236"/>
        <v>26.34648681054474</v>
      </c>
      <c r="I653" s="74">
        <f t="shared" si="242"/>
        <v>34.9476724316321</v>
      </c>
      <c r="J653" s="74">
        <f t="shared" si="246"/>
        <v>26.34648681054474</v>
      </c>
      <c r="K653" s="74">
        <f t="shared" si="243"/>
        <v>37.4577988480803</v>
      </c>
      <c r="L653" s="74">
        <f t="shared" si="237"/>
        <v>1.9319061275832015</v>
      </c>
      <c r="M653" s="74">
        <f t="shared" si="247"/>
        <v>3.409415373203253</v>
      </c>
      <c r="N653" s="74">
        <f t="shared" si="238"/>
        <v>0.2894370209242849</v>
      </c>
      <c r="O653" s="74">
        <f t="shared" si="239"/>
        <v>58.885987984739714</v>
      </c>
      <c r="P653" s="74">
        <f t="shared" si="240"/>
        <v>0.3103849254404396</v>
      </c>
    </row>
    <row r="654" spans="2:16" ht="13.5">
      <c r="B654" s="74">
        <f t="shared" si="232"/>
        <v>42.874411406353694</v>
      </c>
      <c r="C654" s="70">
        <f t="shared" si="244"/>
        <v>56.545</v>
      </c>
      <c r="D654" s="70">
        <f t="shared" si="245"/>
        <v>78</v>
      </c>
      <c r="E654" s="74">
        <f t="shared" si="233"/>
        <v>0.9868964255401936</v>
      </c>
      <c r="F654" s="74">
        <f t="shared" si="234"/>
        <v>1.361356816555577</v>
      </c>
      <c r="G654" s="74">
        <f t="shared" si="235"/>
        <v>100.0220413154233</v>
      </c>
      <c r="H654" s="74">
        <f t="shared" si="236"/>
        <v>24.40614891650218</v>
      </c>
      <c r="I654" s="74">
        <f t="shared" si="242"/>
        <v>32.17574952279962</v>
      </c>
      <c r="J654" s="74">
        <f t="shared" si="246"/>
        <v>24.40614891650218</v>
      </c>
      <c r="K654" s="74">
        <f t="shared" si="243"/>
        <v>36.370545849157565</v>
      </c>
      <c r="L654" s="74">
        <f t="shared" si="237"/>
        <v>1.9493594201031446</v>
      </c>
      <c r="M654" s="74">
        <f t="shared" si="247"/>
        <v>3.4325630767730444</v>
      </c>
      <c r="N654" s="74">
        <f t="shared" si="238"/>
        <v>0.23166750165393885</v>
      </c>
      <c r="O654" s="74">
        <f t="shared" si="239"/>
        <v>57.69321125099848</v>
      </c>
      <c r="P654" s="74">
        <f t="shared" si="240"/>
        <v>0.31979022101940996</v>
      </c>
    </row>
    <row r="655" spans="2:16" ht="13.5">
      <c r="B655" s="74">
        <f t="shared" si="232"/>
        <v>42.65381784002672</v>
      </c>
      <c r="C655" s="70">
        <f t="shared" si="244"/>
        <v>56.545</v>
      </c>
      <c r="D655" s="70">
        <f t="shared" si="245"/>
        <v>79</v>
      </c>
      <c r="E655" s="74">
        <f t="shared" si="233"/>
        <v>0.9868964255401936</v>
      </c>
      <c r="F655" s="74">
        <f t="shared" si="234"/>
        <v>1.3788101090755203</v>
      </c>
      <c r="G655" s="74">
        <f t="shared" si="235"/>
        <v>100.0220413154233</v>
      </c>
      <c r="H655" s="74">
        <f t="shared" si="236"/>
        <v>22.438680258289008</v>
      </c>
      <c r="I655" s="74">
        <f t="shared" si="242"/>
        <v>29.424319295722153</v>
      </c>
      <c r="J655" s="74">
        <f t="shared" si="246"/>
        <v>22.438680258289008</v>
      </c>
      <c r="K655" s="74">
        <f t="shared" si="243"/>
        <v>35.29133085505204</v>
      </c>
      <c r="L655" s="74">
        <f t="shared" si="237"/>
        <v>1.9668127126230877</v>
      </c>
      <c r="M655" s="74">
        <f t="shared" si="247"/>
        <v>3.4570875053272205</v>
      </c>
      <c r="N655" s="74">
        <f t="shared" si="238"/>
        <v>0.17309022039101127</v>
      </c>
      <c r="O655" s="74">
        <f t="shared" si="239"/>
        <v>56.51686285396873</v>
      </c>
      <c r="P655" s="74">
        <f t="shared" si="240"/>
        <v>0.3306235717929528</v>
      </c>
    </row>
    <row r="656" spans="2:16" ht="13.5">
      <c r="B656" s="74">
        <f t="shared" si="232"/>
        <v>42.40431446414015</v>
      </c>
      <c r="C656" s="70">
        <f t="shared" si="244"/>
        <v>56.545</v>
      </c>
      <c r="D656" s="70">
        <f t="shared" si="245"/>
        <v>80</v>
      </c>
      <c r="E656" s="74">
        <f t="shared" si="233"/>
        <v>0.9868964255401936</v>
      </c>
      <c r="F656" s="74">
        <f t="shared" si="234"/>
        <v>1.3962634015954636</v>
      </c>
      <c r="G656" s="74">
        <f t="shared" si="235"/>
        <v>100.0220413154233</v>
      </c>
      <c r="H656" s="74">
        <f t="shared" si="236"/>
        <v>20.442283082501756</v>
      </c>
      <c r="I656" s="74">
        <f t="shared" si="242"/>
        <v>26.691496704743898</v>
      </c>
      <c r="J656" s="74">
        <f t="shared" si="246"/>
        <v>20.442283082501756</v>
      </c>
      <c r="K656" s="74">
        <f t="shared" si="243"/>
        <v>34.21941447956511</v>
      </c>
      <c r="L656" s="74">
        <f t="shared" si="237"/>
        <v>1.9842660051430312</v>
      </c>
      <c r="M656" s="74">
        <f t="shared" si="247"/>
        <v>3.483033492591896</v>
      </c>
      <c r="N656" s="74">
        <f t="shared" si="238"/>
        <v>0.1136516527724497</v>
      </c>
      <c r="O656" s="74">
        <f t="shared" si="239"/>
        <v>55.35490120062673</v>
      </c>
      <c r="P656" s="74">
        <f t="shared" si="240"/>
        <v>0.342914416233556</v>
      </c>
    </row>
    <row r="657" spans="2:16" ht="13.5">
      <c r="B657" s="74">
        <f t="shared" si="232"/>
        <v>42.12542600664562</v>
      </c>
      <c r="C657" s="70">
        <f t="shared" si="244"/>
        <v>56.545</v>
      </c>
      <c r="D657" s="70">
        <f t="shared" si="245"/>
        <v>81</v>
      </c>
      <c r="E657" s="74">
        <f t="shared" si="233"/>
        <v>0.9868964255401936</v>
      </c>
      <c r="F657" s="74">
        <f t="shared" si="234"/>
        <v>1.413716694115407</v>
      </c>
      <c r="G657" s="74">
        <f t="shared" si="235"/>
        <v>100.0220413154233</v>
      </c>
      <c r="H657" s="74">
        <f t="shared" si="236"/>
        <v>18.415070572518374</v>
      </c>
      <c r="I657" s="74">
        <f t="shared" si="242"/>
        <v>23.97544465412669</v>
      </c>
      <c r="J657" s="74">
        <f t="shared" si="246"/>
        <v>18.415070572518374</v>
      </c>
      <c r="K657" s="74">
        <f t="shared" si="243"/>
        <v>33.15407614426935</v>
      </c>
      <c r="L657" s="74">
        <f t="shared" si="237"/>
        <v>2.0017192976629743</v>
      </c>
      <c r="M657" s="74">
        <f t="shared" si="247"/>
        <v>3.510449285294637</v>
      </c>
      <c r="N657" s="74">
        <f t="shared" si="238"/>
        <v>0.053295622763378</v>
      </c>
      <c r="O657" s="74">
        <f t="shared" si="239"/>
        <v>54.205294881376055</v>
      </c>
      <c r="P657" s="74">
        <f t="shared" si="240"/>
        <v>0.356696024532506</v>
      </c>
    </row>
    <row r="658" spans="2:16" ht="13.5">
      <c r="B658" s="74">
        <f t="shared" si="232"/>
        <v>43.58419436549549</v>
      </c>
      <c r="C658" s="70">
        <f t="shared" si="244"/>
        <v>56.545</v>
      </c>
      <c r="D658" s="70">
        <f t="shared" si="245"/>
        <v>82</v>
      </c>
      <c r="E658" s="74">
        <f t="shared" si="233"/>
        <v>0.9868964255401936</v>
      </c>
      <c r="F658" s="74">
        <f t="shared" si="234"/>
        <v>1.43116998663535</v>
      </c>
      <c r="G658" s="74">
        <f t="shared" si="235"/>
        <v>100.0220413154233</v>
      </c>
      <c r="H658" s="74">
        <f t="shared" si="236"/>
        <v>21.274368853074545</v>
      </c>
      <c r="I658" s="74">
        <f t="shared" si="242"/>
        <v>21.274368853074545</v>
      </c>
      <c r="J658" s="74">
        <f t="shared" si="246"/>
        <v>16.355059041525283</v>
      </c>
      <c r="K658" s="74">
        <f t="shared" si="243"/>
        <v>32.09461206045451</v>
      </c>
      <c r="L658" s="74">
        <f t="shared" si="237"/>
        <v>2.0191725901829174</v>
      </c>
      <c r="M658" s="74">
        <f t="shared" si="247"/>
        <v>3.539386779747792</v>
      </c>
      <c r="N658" s="74">
        <f t="shared" si="238"/>
        <v>-0.008036929779261789</v>
      </c>
      <c r="O658" s="74">
        <f t="shared" si="239"/>
        <v>55.30913653907745</v>
      </c>
      <c r="P658" s="74">
        <f t="shared" si="240"/>
        <v>0.2851738967909034</v>
      </c>
    </row>
    <row r="659" spans="2:16" ht="13.5">
      <c r="B659" s="74">
        <f t="shared" si="232"/>
        <v>43.047340009186854</v>
      </c>
      <c r="C659" s="70">
        <f t="shared" si="244"/>
        <v>56.545</v>
      </c>
      <c r="D659" s="70">
        <f t="shared" si="245"/>
        <v>83</v>
      </c>
      <c r="E659" s="74">
        <f t="shared" si="233"/>
        <v>0.9868964255401936</v>
      </c>
      <c r="F659" s="74">
        <f t="shared" si="234"/>
        <v>1.4486232791552935</v>
      </c>
      <c r="G659" s="74">
        <f t="shared" si="235"/>
        <v>100.0220413154233</v>
      </c>
      <c r="H659" s="74">
        <f t="shared" si="236"/>
        <v>18.586512906677186</v>
      </c>
      <c r="I659" s="74">
        <f t="shared" si="242"/>
        <v>18.586512906677186</v>
      </c>
      <c r="J659" s="74">
        <f t="shared" si="246"/>
        <v>14.26015943222883</v>
      </c>
      <c r="K659" s="74">
        <f t="shared" si="243"/>
        <v>31.040333303609955</v>
      </c>
      <c r="L659" s="74">
        <f t="shared" si="237"/>
        <v>2.036625882702861</v>
      </c>
      <c r="M659" s="74">
        <f t="shared" si="247"/>
        <v>3.569901782381449</v>
      </c>
      <c r="N659" s="74">
        <f t="shared" si="238"/>
        <v>-0.0704082021850964</v>
      </c>
      <c r="O659" s="74">
        <f t="shared" si="239"/>
        <v>53.90110941427801</v>
      </c>
      <c r="P659" s="74">
        <f t="shared" si="240"/>
        <v>0.3113212190529988</v>
      </c>
    </row>
    <row r="660" spans="2:16" ht="13.5">
      <c r="B660" s="74">
        <f t="shared" si="232"/>
        <v>42.49256645191033</v>
      </c>
      <c r="C660" s="70">
        <f t="shared" si="244"/>
        <v>56.545</v>
      </c>
      <c r="D660" s="70">
        <f t="shared" si="245"/>
        <v>84</v>
      </c>
      <c r="E660" s="74">
        <f t="shared" si="233"/>
        <v>0.9868964255401936</v>
      </c>
      <c r="F660" s="74">
        <f t="shared" si="234"/>
        <v>1.4660765716752369</v>
      </c>
      <c r="G660" s="74">
        <f t="shared" si="235"/>
        <v>100.0220413154233</v>
      </c>
      <c r="H660" s="74">
        <f t="shared" si="236"/>
        <v>15.910153613341771</v>
      </c>
      <c r="I660" s="74">
        <f t="shared" si="242"/>
        <v>15.910153613341771</v>
      </c>
      <c r="J660" s="74">
        <f t="shared" si="246"/>
        <v>12.128168042573405</v>
      </c>
      <c r="K660" s="74">
        <f t="shared" si="243"/>
        <v>29.990563968899536</v>
      </c>
      <c r="L660" s="74">
        <f t="shared" si="237"/>
        <v>2.0540791752228045</v>
      </c>
      <c r="M660" s="74">
        <f t="shared" si="247"/>
        <v>3.602054296824678</v>
      </c>
      <c r="N660" s="74">
        <f t="shared" si="238"/>
        <v>-0.1338838050927462</v>
      </c>
      <c r="O660" s="74">
        <f t="shared" si="239"/>
        <v>52.52370067298821</v>
      </c>
      <c r="P660" s="74">
        <f t="shared" si="240"/>
        <v>0.3385626409934211</v>
      </c>
    </row>
    <row r="661" spans="2:16" ht="13.5">
      <c r="B661" s="74">
        <f t="shared" si="232"/>
        <v>41.919827886781675</v>
      </c>
      <c r="C661" s="70">
        <f t="shared" si="244"/>
        <v>56.545</v>
      </c>
      <c r="D661" s="70">
        <f>D630</f>
        <v>85</v>
      </c>
      <c r="E661" s="74">
        <f t="shared" si="233"/>
        <v>0.9868964255401936</v>
      </c>
      <c r="F661" s="74">
        <f t="shared" si="234"/>
        <v>1.4835298641951802</v>
      </c>
      <c r="G661" s="74">
        <f t="shared" si="235"/>
        <v>100.0220413154233</v>
      </c>
      <c r="H661" s="74">
        <f t="shared" si="236"/>
        <v>13.24359644123674</v>
      </c>
      <c r="I661" s="74">
        <f t="shared" si="242"/>
        <v>13.24359644123674</v>
      </c>
      <c r="J661" s="74">
        <f t="shared" si="246"/>
        <v>9.956756386451493</v>
      </c>
      <c r="K661" s="74">
        <f t="shared" si="243"/>
        <v>28.944639396851734</v>
      </c>
      <c r="L661" s="74">
        <f t="shared" si="237"/>
        <v>2.0715324677427476</v>
      </c>
      <c r="M661" s="74">
        <f t="shared" si="247"/>
        <v>3.6359088404790922</v>
      </c>
      <c r="N661" s="74">
        <f t="shared" si="238"/>
        <v>-0.1985330643260647</v>
      </c>
      <c r="O661" s="74">
        <f t="shared" si="239"/>
        <v>51.174660649436916</v>
      </c>
      <c r="P661" s="74">
        <f t="shared" si="240"/>
        <v>0.3668822925615808</v>
      </c>
    </row>
    <row r="662" spans="2:16" ht="13.5">
      <c r="B662" s="74">
        <f t="shared" si="232"/>
        <v>41.3290306534071</v>
      </c>
      <c r="C662" s="70">
        <f t="shared" si="244"/>
        <v>56.545</v>
      </c>
      <c r="D662" s="70">
        <f t="shared" si="245"/>
        <v>86</v>
      </c>
      <c r="E662" s="74">
        <f t="shared" si="233"/>
        <v>0.9868964255401936</v>
      </c>
      <c r="F662" s="74">
        <f t="shared" si="234"/>
        <v>1.5009831567151233</v>
      </c>
      <c r="G662" s="74">
        <f t="shared" si="235"/>
        <v>100.0220413154233</v>
      </c>
      <c r="H662" s="74">
        <f t="shared" si="236"/>
        <v>10.585171157948913</v>
      </c>
      <c r="I662" s="74">
        <f t="shared" si="242"/>
        <v>10.585171157948913</v>
      </c>
      <c r="J662" s="74">
        <f t="shared" si="246"/>
        <v>7.743460086500027</v>
      </c>
      <c r="K662" s="74">
        <f t="shared" si="243"/>
        <v>27.90190445914594</v>
      </c>
      <c r="L662" s="74">
        <f t="shared" si="237"/>
        <v>2.0889857602626907</v>
      </c>
      <c r="M662" s="74">
        <f t="shared" si="247"/>
        <v>3.6715347939252476</v>
      </c>
      <c r="N662" s="74">
        <f t="shared" si="238"/>
        <v>-0.26442935158799213</v>
      </c>
      <c r="O662" s="74">
        <f t="shared" si="239"/>
        <v>49.85181856840774</v>
      </c>
      <c r="P662" s="74">
        <f t="shared" si="240"/>
        <v>0.3962577763281335</v>
      </c>
    </row>
    <row r="663" spans="2:16" ht="13.5">
      <c r="B663" s="74">
        <f>O663*SIN(F663-F$4)</f>
        <v>40.72003399903081</v>
      </c>
      <c r="C663" s="70">
        <f t="shared" si="244"/>
        <v>56.545</v>
      </c>
      <c r="D663" s="70">
        <f t="shared" si="245"/>
        <v>87</v>
      </c>
      <c r="E663" s="74">
        <f t="shared" si="233"/>
        <v>0.9868964255401936</v>
      </c>
      <c r="F663" s="74">
        <f t="shared" si="234"/>
        <v>1.5184364492350666</v>
      </c>
      <c r="G663" s="74">
        <f t="shared" si="235"/>
        <v>100.0220413154233</v>
      </c>
      <c r="H663" s="74">
        <f t="shared" si="236"/>
        <v>7.933227588970383</v>
      </c>
      <c r="I663" s="74">
        <f t="shared" si="242"/>
        <v>7.933227588970383</v>
      </c>
      <c r="J663" s="74">
        <f t="shared" si="246"/>
        <v>5.4856666823648865</v>
      </c>
      <c r="K663" s="74">
        <f t="shared" si="243"/>
        <v>26.861711894930572</v>
      </c>
      <c r="L663" s="74">
        <f t="shared" si="237"/>
        <v>2.106439052782634</v>
      </c>
      <c r="M663" s="74">
        <f t="shared" si="247"/>
        <v>3.7090067869585464</v>
      </c>
      <c r="N663" s="74">
        <f t="shared" si="238"/>
        <v>-0.3316504474440855</v>
      </c>
      <c r="O663" s="74">
        <f t="shared" si="239"/>
        <v>48.55307382347612</v>
      </c>
      <c r="P663" s="74">
        <f t="shared" si="240"/>
        <v>0.42665935136841254</v>
      </c>
    </row>
    <row r="664" spans="2:16" ht="13.5">
      <c r="B664" s="74">
        <f aca="true" t="shared" si="248" ref="B664:B727">O664*SIN(F664-F$4)</f>
        <v>40.09265057329432</v>
      </c>
      <c r="C664" s="70">
        <f t="shared" si="244"/>
        <v>56.545</v>
      </c>
      <c r="D664" s="70">
        <f t="shared" si="245"/>
        <v>88</v>
      </c>
      <c r="E664" s="74">
        <f t="shared" si="233"/>
        <v>0.9868964255401936</v>
      </c>
      <c r="F664" s="74">
        <f t="shared" si="234"/>
        <v>1.53588974175501</v>
      </c>
      <c r="G664" s="74">
        <f t="shared" si="235"/>
        <v>100.0220413154233</v>
      </c>
      <c r="H664" s="74">
        <f t="shared" si="236"/>
        <v>5.286131481813329</v>
      </c>
      <c r="I664" s="74">
        <f t="shared" si="242"/>
        <v>5.286131481813329</v>
      </c>
      <c r="J664" s="74">
        <f t="shared" si="246"/>
        <v>3.180602221976846</v>
      </c>
      <c r="K664" s="74">
        <f t="shared" si="243"/>
        <v>25.823420688572526</v>
      </c>
      <c r="L664" s="74">
        <f t="shared" si="237"/>
        <v>2.1238923453025773</v>
      </c>
      <c r="M664" s="74">
        <f t="shared" si="247"/>
        <v>3.7484051255774977</v>
      </c>
      <c r="N664" s="74">
        <f t="shared" si="238"/>
        <v>-0.4002789405393484</v>
      </c>
      <c r="O664" s="74">
        <f t="shared" si="239"/>
        <v>47.276387689571635</v>
      </c>
      <c r="P664" s="74">
        <f t="shared" si="240"/>
        <v>0.4580492074054767</v>
      </c>
    </row>
    <row r="665" spans="2:16" ht="13.5">
      <c r="B665" s="74">
        <f t="shared" si="248"/>
        <v>39.44664666539247</v>
      </c>
      <c r="C665" s="70">
        <f t="shared" si="244"/>
        <v>56.545</v>
      </c>
      <c r="D665" s="70">
        <f>D634</f>
        <v>89</v>
      </c>
      <c r="E665" s="74">
        <f t="shared" si="233"/>
        <v>0.9868964255401936</v>
      </c>
      <c r="F665" s="74">
        <f t="shared" si="234"/>
        <v>1.5533430342749535</v>
      </c>
      <c r="G665" s="74">
        <f t="shared" si="235"/>
        <v>100.0220413154233</v>
      </c>
      <c r="H665" s="74">
        <f t="shared" si="236"/>
        <v>2.642260453508916</v>
      </c>
      <c r="I665" s="74">
        <f t="shared" si="242"/>
        <v>2.642260453508916</v>
      </c>
      <c r="J665" s="74">
        <f t="shared" si="246"/>
        <v>0.8253164850416557</v>
      </c>
      <c r="K665" s="74">
        <f t="shared" si="243"/>
        <v>24.78639448011291</v>
      </c>
      <c r="L665" s="74">
        <f t="shared" si="237"/>
        <v>2.141345637822521</v>
      </c>
      <c r="M665" s="74">
        <f t="shared" si="247"/>
        <v>3.7898162648555984</v>
      </c>
      <c r="N665" s="74">
        <f t="shared" si="238"/>
        <v>-0.47040266753803595</v>
      </c>
      <c r="O665" s="74">
        <f t="shared" si="239"/>
        <v>46.019775407999596</v>
      </c>
      <c r="P665" s="74">
        <f t="shared" si="240"/>
        <v>0.490380869478404</v>
      </c>
    </row>
    <row r="666" spans="2:16" ht="13.5">
      <c r="B666" s="74">
        <f t="shared" si="248"/>
        <v>38.78174218993166</v>
      </c>
      <c r="C666" s="70">
        <f t="shared" si="244"/>
        <v>56.545</v>
      </c>
      <c r="D666" s="70">
        <f t="shared" si="245"/>
        <v>90</v>
      </c>
      <c r="E666" s="74">
        <f t="shared" si="233"/>
        <v>0.9868964255401936</v>
      </c>
      <c r="F666" s="74">
        <f t="shared" si="234"/>
        <v>1.5707963267948966</v>
      </c>
      <c r="G666" s="74">
        <f t="shared" si="235"/>
        <v>100.0220413154233</v>
      </c>
      <c r="H666" s="74">
        <f t="shared" si="236"/>
        <v>9.272842368089618E-15</v>
      </c>
      <c r="I666" s="74">
        <f t="shared" si="242"/>
        <v>9.272842368089618E-15</v>
      </c>
      <c r="J666" s="74">
        <f t="shared" si="246"/>
        <v>-1.5833333333333073</v>
      </c>
      <c r="K666" s="74">
        <f t="shared" si="243"/>
        <v>23.750000000000007</v>
      </c>
      <c r="L666" s="74">
        <f t="shared" si="237"/>
        <v>2.158798930342464</v>
      </c>
      <c r="M666" s="74">
        <f t="shared" si="247"/>
        <v>3.8333333333333317</v>
      </c>
      <c r="N666" s="74">
        <f t="shared" si="238"/>
        <v>-0.5421151989096857</v>
      </c>
      <c r="O666" s="74">
        <f t="shared" si="239"/>
        <v>44.78129858599942</v>
      </c>
      <c r="P666" s="74">
        <f t="shared" si="240"/>
        <v>0.5235987755982986</v>
      </c>
    </row>
    <row r="667" spans="2:16" ht="13.5">
      <c r="B667" s="74">
        <f t="shared" si="248"/>
        <v>41.93388973326375</v>
      </c>
      <c r="C667" s="70">
        <f>C666+J600</f>
        <v>56.929</v>
      </c>
      <c r="D667" s="70">
        <f>D636</f>
        <v>60</v>
      </c>
      <c r="E667" s="74">
        <f t="shared" si="233"/>
        <v>0.9935984898678518</v>
      </c>
      <c r="F667" s="74">
        <f t="shared" si="234"/>
        <v>1.0471975511965976</v>
      </c>
      <c r="G667" s="74">
        <f t="shared" si="235"/>
        <v>98.57097955153152</v>
      </c>
      <c r="H667" s="74">
        <f t="shared" si="236"/>
        <v>56.61327536344993</v>
      </c>
      <c r="I667" s="74">
        <f t="shared" si="242"/>
        <v>87.39639699857963</v>
      </c>
      <c r="J667" s="74">
        <f t="shared" si="246"/>
        <v>56.61327536344993</v>
      </c>
      <c r="K667" s="74">
        <f t="shared" si="243"/>
        <v>58.03017223313404</v>
      </c>
      <c r="L667" s="74">
        <f t="shared" si="237"/>
        <v>1.6352001547441652</v>
      </c>
      <c r="M667" s="74">
        <f t="shared" si="247"/>
        <v>3.196152422706631</v>
      </c>
      <c r="N667" s="74">
        <f t="shared" si="238"/>
        <v>1.1905676074715958</v>
      </c>
      <c r="O667" s="74">
        <f t="shared" si="239"/>
        <v>83.86777946652751</v>
      </c>
      <c r="P667" s="74">
        <f t="shared" si="240"/>
        <v>0.36488529669539216</v>
      </c>
    </row>
    <row r="668" spans="2:16" ht="13.5">
      <c r="B668" s="74">
        <f t="shared" si="248"/>
        <v>42.24935478539393</v>
      </c>
      <c r="C668" s="70">
        <f>C667</f>
        <v>56.929</v>
      </c>
      <c r="D668" s="70">
        <f aca="true" t="shared" si="249" ref="D668:D731">D637</f>
        <v>61</v>
      </c>
      <c r="E668" s="74">
        <f t="shared" si="233"/>
        <v>0.9935984898678518</v>
      </c>
      <c r="F668" s="74">
        <f t="shared" si="234"/>
        <v>1.064650843716541</v>
      </c>
      <c r="G668" s="74">
        <f t="shared" si="235"/>
        <v>98.57097955153152</v>
      </c>
      <c r="H668" s="74">
        <f t="shared" si="236"/>
        <v>54.91741842603781</v>
      </c>
      <c r="I668" s="74">
        <f t="shared" si="242"/>
        <v>83.90853266366291</v>
      </c>
      <c r="J668" s="74">
        <f t="shared" si="246"/>
        <v>54.91741842603781</v>
      </c>
      <c r="K668" s="74">
        <f t="shared" si="243"/>
        <v>56.662099930008154</v>
      </c>
      <c r="L668" s="74">
        <f t="shared" si="237"/>
        <v>1.6526534472641083</v>
      </c>
      <c r="M668" s="74">
        <f t="shared" si="247"/>
        <v>3.200241894286732</v>
      </c>
      <c r="N668" s="74">
        <f t="shared" si="238"/>
        <v>1.1400769994561701</v>
      </c>
      <c r="O668" s="74">
        <f t="shared" si="239"/>
        <v>82.03151736456053</v>
      </c>
      <c r="P668" s="74">
        <f t="shared" si="240"/>
        <v>0.34947978705596744</v>
      </c>
    </row>
    <row r="669" spans="2:16" ht="13.5">
      <c r="B669" s="74">
        <f t="shared" si="248"/>
        <v>42.52980307844325</v>
      </c>
      <c r="C669" s="70">
        <f aca="true" t="shared" si="250" ref="C669:C697">C668</f>
        <v>56.929</v>
      </c>
      <c r="D669" s="70">
        <f t="shared" si="249"/>
        <v>62</v>
      </c>
      <c r="E669" s="74">
        <f t="shared" si="233"/>
        <v>0.9935984898678518</v>
      </c>
      <c r="F669" s="74">
        <f t="shared" si="234"/>
        <v>1.0821041362364843</v>
      </c>
      <c r="G669" s="74">
        <f t="shared" si="235"/>
        <v>98.57097955153152</v>
      </c>
      <c r="H669" s="74">
        <f t="shared" si="236"/>
        <v>53.21669751699319</v>
      </c>
      <c r="I669" s="74">
        <f t="shared" si="242"/>
        <v>80.48751521775635</v>
      </c>
      <c r="J669" s="74">
        <f t="shared" si="246"/>
        <v>53.21669751699319</v>
      </c>
      <c r="K669" s="74">
        <f t="shared" si="243"/>
        <v>55.3202475049003</v>
      </c>
      <c r="L669" s="74">
        <f t="shared" si="237"/>
        <v>1.6701067397840519</v>
      </c>
      <c r="M669" s="74">
        <f>J$18/SIN(L669)*SIN(J$19)</f>
        <v>3.205319466443784</v>
      </c>
      <c r="N669" s="74">
        <f t="shared" si="238"/>
        <v>1.0894415768165406</v>
      </c>
      <c r="O669" s="74">
        <f t="shared" si="239"/>
        <v>80.25713716972345</v>
      </c>
      <c r="P669" s="74">
        <f t="shared" si="240"/>
        <v>0.33583216510160774</v>
      </c>
    </row>
    <row r="670" spans="2:16" ht="13.5">
      <c r="B670" s="74">
        <f t="shared" si="248"/>
        <v>42.77637885837597</v>
      </c>
      <c r="C670" s="70">
        <f t="shared" si="250"/>
        <v>56.929</v>
      </c>
      <c r="D670" s="70">
        <f t="shared" si="249"/>
        <v>63</v>
      </c>
      <c r="E670" s="74">
        <f aca="true" t="shared" si="251" ref="E670:E733">C670*PI()/180</f>
        <v>0.9935984898678518</v>
      </c>
      <c r="F670" s="74">
        <f aca="true" t="shared" si="252" ref="F670:F733">D670*PI()/180</f>
        <v>1.0995574287564276</v>
      </c>
      <c r="G670" s="74">
        <f aca="true" t="shared" si="253" ref="G670:G733">(0.5*$D$3*$D$9+$D$5)*$D$9/TAN(E670)</f>
        <v>98.57097955153152</v>
      </c>
      <c r="H670" s="74">
        <f aca="true" t="shared" si="254" ref="H670:H733">IF(D670&gt;$F$17,I670,IF(D670&lt;$F$16,K670,J670))</f>
        <v>51.51005054407396</v>
      </c>
      <c r="I670" s="74">
        <f t="shared" si="242"/>
        <v>77.12941491721917</v>
      </c>
      <c r="J670" s="74">
        <f t="shared" si="246"/>
        <v>51.51005054407396</v>
      </c>
      <c r="K670" s="74">
        <f t="shared" si="243"/>
        <v>54.00307356373172</v>
      </c>
      <c r="L670" s="74">
        <f aca="true" t="shared" si="255" ref="L670:L733">F670+D$14</f>
        <v>1.687560032303995</v>
      </c>
      <c r="M670" s="74">
        <f>J$18/SIN(L670)*SIN(J$19)</f>
        <v>3.2113929525108333</v>
      </c>
      <c r="N670" s="74">
        <f aca="true" t="shared" si="256" ref="N670:N733">M670*SIN(D$17-F670)</f>
        <v>1.0386297179684278</v>
      </c>
      <c r="O670" s="74">
        <f aca="true" t="shared" si="257" ref="O670:O733">SIN(E670-F$4)/SIN(E670+F670-2*F$4)*(G670+H670)</f>
        <v>78.5407877663336</v>
      </c>
      <c r="P670" s="74">
        <f aca="true" t="shared" si="258" ref="P670:P733">ATAN((O670*COS(F670-F$4)-H670)/(O670*SIN(F670-F$4)))</f>
        <v>0.3238741269535576</v>
      </c>
    </row>
    <row r="671" spans="2:16" ht="13.5">
      <c r="B671" s="74">
        <f t="shared" si="248"/>
        <v>42.99010392432834</v>
      </c>
      <c r="C671" s="70">
        <f t="shared" si="250"/>
        <v>56.929</v>
      </c>
      <c r="D671" s="70">
        <f t="shared" si="249"/>
        <v>64</v>
      </c>
      <c r="E671" s="74">
        <f t="shared" si="251"/>
        <v>0.9935984898678518</v>
      </c>
      <c r="F671" s="74">
        <f t="shared" si="252"/>
        <v>1.117010721276371</v>
      </c>
      <c r="G671" s="74">
        <f t="shared" si="253"/>
        <v>98.57097955153152</v>
      </c>
      <c r="H671" s="74">
        <f t="shared" si="254"/>
        <v>49.7964007486329</v>
      </c>
      <c r="I671" s="74">
        <f t="shared" si="242"/>
        <v>73.83052059415728</v>
      </c>
      <c r="J671" s="74">
        <f aca="true" t="shared" si="259" ref="J671:J680">0.5*$J$18*N671*$D$3+$G$18</f>
        <v>49.7964007486329</v>
      </c>
      <c r="K671" s="74">
        <f t="shared" si="243"/>
        <v>52.70912244609802</v>
      </c>
      <c r="L671" s="74">
        <f t="shared" si="255"/>
        <v>1.7050133248239385</v>
      </c>
      <c r="M671" s="74">
        <f aca="true" t="shared" si="260" ref="M671:M680">J$18/SIN(L671)*SIN(J$19)</f>
        <v>3.21847173736185</v>
      </c>
      <c r="N671" s="74">
        <f t="shared" si="256"/>
        <v>0.9876093646658881</v>
      </c>
      <c r="O671" s="74">
        <f t="shared" si="257"/>
        <v>76.8788438792791</v>
      </c>
      <c r="P671" s="74">
        <f t="shared" si="258"/>
        <v>0.31354304796569205</v>
      </c>
    </row>
    <row r="672" spans="2:16" ht="13.5">
      <c r="B672" s="74">
        <f t="shared" si="248"/>
        <v>43.17188522203861</v>
      </c>
      <c r="C672" s="70">
        <f t="shared" si="250"/>
        <v>56.929</v>
      </c>
      <c r="D672" s="70">
        <f t="shared" si="249"/>
        <v>65</v>
      </c>
      <c r="E672" s="74">
        <f t="shared" si="251"/>
        <v>0.9935984898678518</v>
      </c>
      <c r="F672" s="74">
        <f t="shared" si="252"/>
        <v>1.1344640137963142</v>
      </c>
      <c r="G672" s="74">
        <f t="shared" si="253"/>
        <v>98.57097955153152</v>
      </c>
      <c r="H672" s="74">
        <f t="shared" si="254"/>
        <v>48.07465394252364</v>
      </c>
      <c r="I672" s="74">
        <f t="shared" si="242"/>
        <v>70.58732175321292</v>
      </c>
      <c r="J672" s="74">
        <f t="shared" si="259"/>
        <v>48.07465394252364</v>
      </c>
      <c r="K672" s="74">
        <f t="shared" si="243"/>
        <v>51.43701720295304</v>
      </c>
      <c r="L672" s="74">
        <f t="shared" si="255"/>
        <v>1.7224666173438816</v>
      </c>
      <c r="M672" s="74">
        <f t="shared" si="260"/>
        <v>3.2265668130425462</v>
      </c>
      <c r="N672" s="74">
        <f t="shared" si="256"/>
        <v>0.9363479397359457</v>
      </c>
      <c r="O672" s="74">
        <f t="shared" si="257"/>
        <v>75.26788495128504</v>
      </c>
      <c r="P672" s="74">
        <f t="shared" si="258"/>
        <v>0.30478240575776605</v>
      </c>
    </row>
    <row r="673" spans="2:16" ht="13.5">
      <c r="B673" s="74">
        <f t="shared" si="248"/>
        <v>43.32252149135825</v>
      </c>
      <c r="C673" s="70">
        <f t="shared" si="250"/>
        <v>56.929</v>
      </c>
      <c r="D673" s="70">
        <f t="shared" si="249"/>
        <v>66</v>
      </c>
      <c r="E673" s="74">
        <f t="shared" si="251"/>
        <v>0.9935984898678518</v>
      </c>
      <c r="F673" s="74">
        <f t="shared" si="252"/>
        <v>1.1519173063162575</v>
      </c>
      <c r="G673" s="74">
        <f t="shared" si="253"/>
        <v>98.57097955153152</v>
      </c>
      <c r="H673" s="74">
        <f t="shared" si="254"/>
        <v>46.34369565210348</v>
      </c>
      <c r="I673" s="74">
        <f t="shared" si="242"/>
        <v>67.39649223857965</v>
      </c>
      <c r="J673" s="74">
        <f t="shared" si="259"/>
        <v>46.34369565210348</v>
      </c>
      <c r="K673" s="74">
        <f t="shared" si="243"/>
        <v>50.18545319019432</v>
      </c>
      <c r="L673" s="74">
        <f t="shared" si="255"/>
        <v>1.7399199098638252</v>
      </c>
      <c r="M673" s="74">
        <f t="shared" si="260"/>
        <v>3.235690820800044</v>
      </c>
      <c r="N673" s="74">
        <f t="shared" si="256"/>
        <v>0.8848122620472225</v>
      </c>
      <c r="O673" s="74">
        <f t="shared" si="257"/>
        <v>73.70467585294503</v>
      </c>
      <c r="P673" s="74">
        <f t="shared" si="258"/>
        <v>0.29754202750353914</v>
      </c>
    </row>
    <row r="674" spans="2:16" ht="13.5">
      <c r="B674" s="74">
        <f t="shared" si="248"/>
        <v>43.442709054706356</v>
      </c>
      <c r="C674" s="70">
        <f t="shared" si="250"/>
        <v>56.929</v>
      </c>
      <c r="D674" s="70">
        <f t="shared" si="249"/>
        <v>67</v>
      </c>
      <c r="E674" s="74">
        <f t="shared" si="251"/>
        <v>0.9935984898678518</v>
      </c>
      <c r="F674" s="74">
        <f t="shared" si="252"/>
        <v>1.1693705988362006</v>
      </c>
      <c r="G674" s="74">
        <f t="shared" si="253"/>
        <v>98.57097955153152</v>
      </c>
      <c r="H674" s="74">
        <f t="shared" si="254"/>
        <v>44.602388153158174</v>
      </c>
      <c r="I674" s="74">
        <f t="shared" si="242"/>
        <v>64.25487530372895</v>
      </c>
      <c r="J674" s="74">
        <f t="shared" si="259"/>
        <v>44.602388153158174</v>
      </c>
      <c r="K674" s="74">
        <f t="shared" si="243"/>
        <v>48.95319221244529</v>
      </c>
      <c r="L674" s="74">
        <f t="shared" si="255"/>
        <v>1.7573732023837683</v>
      </c>
      <c r="M674" s="74">
        <f t="shared" si="260"/>
        <v>3.2458580998131934</v>
      </c>
      <c r="N674" s="74">
        <f t="shared" si="256"/>
        <v>0.8329684582310031</v>
      </c>
      <c r="O674" s="74">
        <f t="shared" si="257"/>
        <v>72.18614920440527</v>
      </c>
      <c r="P674" s="74">
        <f t="shared" si="258"/>
        <v>0.2917782079920709</v>
      </c>
    </row>
    <row r="675" spans="2:16" ht="13.5">
      <c r="B675" s="74">
        <f t="shared" si="248"/>
        <v>43.53304682066507</v>
      </c>
      <c r="C675" s="70">
        <f t="shared" si="250"/>
        <v>56.929</v>
      </c>
      <c r="D675" s="70">
        <f t="shared" si="249"/>
        <v>68</v>
      </c>
      <c r="E675" s="74">
        <f t="shared" si="251"/>
        <v>0.9935984898678518</v>
      </c>
      <c r="F675" s="74">
        <f t="shared" si="252"/>
        <v>1.1868238913561442</v>
      </c>
      <c r="G675" s="74">
        <f t="shared" si="253"/>
        <v>98.57097955153152</v>
      </c>
      <c r="H675" s="74">
        <f t="shared" si="254"/>
        <v>42.84956737955771</v>
      </c>
      <c r="I675" s="74">
        <f t="shared" si="242"/>
        <v>61.15946993579685</v>
      </c>
      <c r="J675" s="74">
        <f t="shared" si="259"/>
        <v>42.84956737955771</v>
      </c>
      <c r="K675" s="74">
        <f t="shared" si="243"/>
        <v>47.739057158962424</v>
      </c>
      <c r="L675" s="74">
        <f t="shared" si="255"/>
        <v>1.7748264949037118</v>
      </c>
      <c r="M675" s="74">
        <f t="shared" si="260"/>
        <v>3.2570847429771757</v>
      </c>
      <c r="N675" s="74">
        <f t="shared" si="256"/>
        <v>0.7807818706428962</v>
      </c>
      <c r="O675" s="74">
        <f t="shared" si="257"/>
        <v>70.7093891129666</v>
      </c>
      <c r="P675" s="74">
        <f t="shared" si="258"/>
        <v>0.2874537351702244</v>
      </c>
    </row>
    <row r="676" spans="2:16" ht="13.5">
      <c r="B676" s="74">
        <f t="shared" si="248"/>
        <v>43.59404056577145</v>
      </c>
      <c r="C676" s="70">
        <f t="shared" si="250"/>
        <v>56.929</v>
      </c>
      <c r="D676" s="70">
        <f t="shared" si="249"/>
        <v>69</v>
      </c>
      <c r="E676" s="74">
        <f t="shared" si="251"/>
        <v>0.9935984898678518</v>
      </c>
      <c r="F676" s="74">
        <f t="shared" si="252"/>
        <v>1.2042771838760873</v>
      </c>
      <c r="G676" s="74">
        <f t="shared" si="253"/>
        <v>98.57097955153152</v>
      </c>
      <c r="H676" s="74">
        <f t="shared" si="254"/>
        <v>41.08403968726031</v>
      </c>
      <c r="I676" s="74">
        <f t="shared" si="242"/>
        <v>58.107418303486085</v>
      </c>
      <c r="J676" s="74">
        <f t="shared" si="259"/>
        <v>41.08403968726031</v>
      </c>
      <c r="K676" s="74">
        <f t="shared" si="243"/>
        <v>46.54192708022782</v>
      </c>
      <c r="L676" s="74">
        <f t="shared" si="255"/>
        <v>1.792279787423655</v>
      </c>
      <c r="M676" s="74">
        <f t="shared" si="260"/>
        <v>3.2693886601519666</v>
      </c>
      <c r="N676" s="74">
        <f t="shared" si="256"/>
        <v>0.7282169610177962</v>
      </c>
      <c r="O676" s="74">
        <f t="shared" si="257"/>
        <v>69.27161615254118</v>
      </c>
      <c r="P676" s="74">
        <f t="shared" si="258"/>
        <v>0.28453785141069315</v>
      </c>
    </row>
    <row r="677" spans="2:16" ht="13.5">
      <c r="B677" s="74">
        <f t="shared" si="248"/>
        <v>43.626106547685765</v>
      </c>
      <c r="C677" s="70">
        <f t="shared" si="250"/>
        <v>56.929</v>
      </c>
      <c r="D677" s="70">
        <f t="shared" si="249"/>
        <v>70</v>
      </c>
      <c r="E677" s="74">
        <f t="shared" si="251"/>
        <v>0.9935984898678518</v>
      </c>
      <c r="F677" s="74">
        <f t="shared" si="252"/>
        <v>1.2217304763960306</v>
      </c>
      <c r="G677" s="74">
        <f t="shared" si="253"/>
        <v>98.57097955153152</v>
      </c>
      <c r="H677" s="74">
        <f t="shared" si="254"/>
        <v>39.30457845389725</v>
      </c>
      <c r="I677" s="74">
        <f t="shared" si="242"/>
        <v>55.09599421204639</v>
      </c>
      <c r="J677" s="74">
        <f t="shared" si="259"/>
        <v>39.30457845389725</v>
      </c>
      <c r="K677" s="74">
        <f t="shared" si="243"/>
        <v>45.360732659555765</v>
      </c>
      <c r="L677" s="74">
        <f t="shared" si="255"/>
        <v>1.809733079943598</v>
      </c>
      <c r="M677" s="74">
        <f t="shared" si="260"/>
        <v>3.2827896493451227</v>
      </c>
      <c r="N677" s="74">
        <f t="shared" si="256"/>
        <v>0.6752372092296027</v>
      </c>
      <c r="O677" s="74">
        <f t="shared" si="257"/>
        <v>67.8701734293858</v>
      </c>
      <c r="P677" s="74">
        <f t="shared" si="258"/>
        <v>0.2830061715803608</v>
      </c>
    </row>
    <row r="678" spans="2:16" ht="13.5">
      <c r="B678" s="74">
        <f t="shared" si="248"/>
        <v>43.62957449408607</v>
      </c>
      <c r="C678" s="70">
        <f t="shared" si="250"/>
        <v>56.929</v>
      </c>
      <c r="D678" s="70">
        <f t="shared" si="249"/>
        <v>71</v>
      </c>
      <c r="E678" s="74">
        <f t="shared" si="251"/>
        <v>0.9935984898678518</v>
      </c>
      <c r="F678" s="74">
        <f t="shared" si="252"/>
        <v>1.239183768915974</v>
      </c>
      <c r="G678" s="74">
        <f t="shared" si="253"/>
        <v>98.57097955153152</v>
      </c>
      <c r="H678" s="74">
        <f t="shared" si="254"/>
        <v>37.50992049257642</v>
      </c>
      <c r="I678" s="74">
        <f t="shared" si="242"/>
        <v>52.12259246172309</v>
      </c>
      <c r="J678" s="74">
        <f t="shared" si="259"/>
        <v>37.50992049257642</v>
      </c>
      <c r="K678" s="74">
        <f t="shared" si="243"/>
        <v>44.19445203907388</v>
      </c>
      <c r="L678" s="74">
        <f t="shared" si="255"/>
        <v>1.8271863724635415</v>
      </c>
      <c r="M678" s="74">
        <f t="shared" si="260"/>
        <v>3.297309476365921</v>
      </c>
      <c r="N678" s="74">
        <f t="shared" si="256"/>
        <v>0.6218050065196917</v>
      </c>
      <c r="O678" s="74">
        <f t="shared" si="257"/>
        <v>66.50251359427196</v>
      </c>
      <c r="P678" s="74">
        <f t="shared" si="258"/>
        <v>0.2828405729599144</v>
      </c>
    </row>
    <row r="679" spans="2:16" ht="13.5">
      <c r="B679" s="74">
        <f t="shared" si="248"/>
        <v>43.60469000366917</v>
      </c>
      <c r="C679" s="70">
        <f t="shared" si="250"/>
        <v>56.929</v>
      </c>
      <c r="D679" s="70">
        <f t="shared" si="249"/>
        <v>72</v>
      </c>
      <c r="E679" s="74">
        <f t="shared" si="251"/>
        <v>0.9935984898678518</v>
      </c>
      <c r="F679" s="74">
        <f t="shared" si="252"/>
        <v>1.2566370614359172</v>
      </c>
      <c r="G679" s="74">
        <f t="shared" si="253"/>
        <v>98.57097955153152</v>
      </c>
      <c r="H679" s="74">
        <f t="shared" si="254"/>
        <v>35.698762256707205</v>
      </c>
      <c r="I679" s="74">
        <f t="shared" si="242"/>
        <v>49.18471901725621</v>
      </c>
      <c r="J679" s="74">
        <f t="shared" si="259"/>
        <v>35.698762256707205</v>
      </c>
      <c r="K679" s="74">
        <f t="shared" si="243"/>
        <v>43.042106963828815</v>
      </c>
      <c r="L679" s="74">
        <f t="shared" si="255"/>
        <v>1.8446396649834846</v>
      </c>
      <c r="M679" s="74">
        <f t="shared" si="260"/>
        <v>3.3129719635610875</v>
      </c>
      <c r="N679" s="74">
        <f t="shared" si="256"/>
        <v>0.5678815425034818</v>
      </c>
      <c r="O679" s="74">
        <f t="shared" si="257"/>
        <v>65.16618667459929</v>
      </c>
      <c r="P679" s="74">
        <f t="shared" si="258"/>
        <v>0.28402906699446484</v>
      </c>
    </row>
    <row r="680" spans="2:16" ht="13.5">
      <c r="B680" s="74">
        <f t="shared" si="248"/>
        <v>43.551616388360976</v>
      </c>
      <c r="C680" s="70">
        <f t="shared" si="250"/>
        <v>56.929</v>
      </c>
      <c r="D680" s="70">
        <f t="shared" si="249"/>
        <v>73</v>
      </c>
      <c r="E680" s="74">
        <f t="shared" si="251"/>
        <v>0.9935984898678518</v>
      </c>
      <c r="F680" s="74">
        <f t="shared" si="252"/>
        <v>1.2740903539558606</v>
      </c>
      <c r="G680" s="74">
        <f t="shared" si="253"/>
        <v>98.57097955153152</v>
      </c>
      <c r="H680" s="74">
        <f t="shared" si="254"/>
        <v>33.86975581055276</v>
      </c>
      <c r="I680" s="74">
        <f t="shared" si="242"/>
        <v>46.27998190580472</v>
      </c>
      <c r="J680" s="74">
        <f t="shared" si="259"/>
        <v>33.86975581055276</v>
      </c>
      <c r="K680" s="74">
        <f t="shared" si="243"/>
        <v>41.90275921160796</v>
      </c>
      <c r="L680" s="74">
        <f t="shared" si="255"/>
        <v>1.8620929575034282</v>
      </c>
      <c r="M680" s="74">
        <f t="shared" si="260"/>
        <v>3.3298030883232532</v>
      </c>
      <c r="N680" s="74">
        <f t="shared" si="256"/>
        <v>0.5134266852020202</v>
      </c>
      <c r="O680" s="74">
        <f t="shared" si="257"/>
        <v>63.85882861121527</v>
      </c>
      <c r="P680" s="74">
        <f t="shared" si="258"/>
        <v>0.2865656585311215</v>
      </c>
    </row>
    <row r="681" spans="2:16" ht="13.5">
      <c r="B681" s="74">
        <f t="shared" si="248"/>
        <v>43.470435979112594</v>
      </c>
      <c r="C681" s="70">
        <f t="shared" si="250"/>
        <v>56.929</v>
      </c>
      <c r="D681" s="70">
        <f t="shared" si="249"/>
        <v>74</v>
      </c>
      <c r="E681" s="74">
        <f t="shared" si="251"/>
        <v>0.9935984898678518</v>
      </c>
      <c r="F681" s="74">
        <f t="shared" si="252"/>
        <v>1.2915436464758039</v>
      </c>
      <c r="G681" s="74">
        <f t="shared" si="253"/>
        <v>98.57097955153152</v>
      </c>
      <c r="H681" s="74">
        <f t="shared" si="254"/>
        <v>32.02150453781869</v>
      </c>
      <c r="I681" s="74">
        <f aca="true" t="shared" si="261" ref="I681:I701">(0.5*$D$3*$D$9+$D$6)*$D$9/TAN(F681)</f>
        <v>43.40608276923955</v>
      </c>
      <c r="J681" s="74">
        <f aca="true" t="shared" si="262" ref="J681:J712">0.5*$J$18*N681*$D$3+$G$18</f>
        <v>32.02150453781869</v>
      </c>
      <c r="K681" s="74">
        <f aca="true" t="shared" si="263" ref="K681:K701">0.5*$D$3*$D$8^2*(1/TAN(F681)-1/TAN($D$16))+$G$19</f>
        <v>40.77550727942922</v>
      </c>
      <c r="L681" s="74">
        <f t="shared" si="255"/>
        <v>1.8795462500233713</v>
      </c>
      <c r="M681" s="74">
        <f aca="true" t="shared" si="264" ref="M681:M712">J$18/SIN(L681)*SIN(J$19)</f>
        <v>3.347831092152982</v>
      </c>
      <c r="N681" s="74">
        <f t="shared" si="256"/>
        <v>0.4583988532741495</v>
      </c>
      <c r="O681" s="74">
        <f t="shared" si="257"/>
        <v>62.578150394112996</v>
      </c>
      <c r="P681" s="74">
        <f t="shared" si="258"/>
        <v>0.2904501944230553</v>
      </c>
    </row>
    <row r="682" spans="2:16" ht="13.5">
      <c r="B682" s="74">
        <f t="shared" si="248"/>
        <v>43.36115091135128</v>
      </c>
      <c r="C682" s="70">
        <f t="shared" si="250"/>
        <v>56.929</v>
      </c>
      <c r="D682" s="70">
        <f t="shared" si="249"/>
        <v>75</v>
      </c>
      <c r="E682" s="74">
        <f t="shared" si="251"/>
        <v>0.9935984898678518</v>
      </c>
      <c r="F682" s="74">
        <f t="shared" si="252"/>
        <v>1.3089969389957472</v>
      </c>
      <c r="G682" s="74">
        <f t="shared" si="253"/>
        <v>98.57097955153152</v>
      </c>
      <c r="H682" s="74">
        <f t="shared" si="254"/>
        <v>30.152558557855457</v>
      </c>
      <c r="I682" s="74">
        <f t="shared" si="261"/>
        <v>40.560809004261195</v>
      </c>
      <c r="J682" s="74">
        <f t="shared" si="262"/>
        <v>30.152558557855457</v>
      </c>
      <c r="K682" s="74">
        <f t="shared" si="263"/>
        <v>39.65948330059791</v>
      </c>
      <c r="L682" s="74">
        <f t="shared" si="255"/>
        <v>1.8969995425433148</v>
      </c>
      <c r="M682" s="74">
        <f t="shared" si="264"/>
        <v>3.3670866011551928</v>
      </c>
      <c r="N682" s="74">
        <f t="shared" si="256"/>
        <v>0.4027548795434824</v>
      </c>
      <c r="O682" s="74">
        <f t="shared" si="257"/>
        <v>61.32192769893947</v>
      </c>
      <c r="P682" s="74">
        <f t="shared" si="258"/>
        <v>0.29568819996538637</v>
      </c>
    </row>
    <row r="683" spans="2:16" ht="13.5">
      <c r="B683" s="74">
        <f t="shared" si="248"/>
        <v>43.22368340014981</v>
      </c>
      <c r="C683" s="70">
        <f t="shared" si="250"/>
        <v>56.929</v>
      </c>
      <c r="D683" s="70">
        <f t="shared" si="249"/>
        <v>76</v>
      </c>
      <c r="E683" s="74">
        <f t="shared" si="251"/>
        <v>0.9935984898678518</v>
      </c>
      <c r="F683" s="74">
        <f t="shared" si="252"/>
        <v>1.3264502315156903</v>
      </c>
      <c r="G683" s="74">
        <f t="shared" si="253"/>
        <v>98.57097955153152</v>
      </c>
      <c r="H683" s="74">
        <f t="shared" si="254"/>
        <v>28.2614098159386</v>
      </c>
      <c r="I683" s="74">
        <f t="shared" si="261"/>
        <v>37.7420264303865</v>
      </c>
      <c r="J683" s="74">
        <f t="shared" si="262"/>
        <v>28.2614098159386</v>
      </c>
      <c r="K683" s="74">
        <f t="shared" si="263"/>
        <v>38.55385016881386</v>
      </c>
      <c r="L683" s="74">
        <f t="shared" si="255"/>
        <v>1.914452835063258</v>
      </c>
      <c r="M683" s="74">
        <f t="shared" si="264"/>
        <v>3.3876027589624966</v>
      </c>
      <c r="N683" s="74">
        <f t="shared" si="256"/>
        <v>0.34644986482172163</v>
      </c>
      <c r="O683" s="74">
        <f t="shared" si="257"/>
        <v>60.08799093252027</v>
      </c>
      <c r="P683" s="74">
        <f t="shared" si="258"/>
        <v>0.3022906984107946</v>
      </c>
    </row>
    <row r="684" spans="2:16" ht="13.5">
      <c r="B684" s="74">
        <f t="shared" si="248"/>
        <v>43.05787550936387</v>
      </c>
      <c r="C684" s="70">
        <f t="shared" si="250"/>
        <v>56.929</v>
      </c>
      <c r="D684" s="70">
        <f t="shared" si="249"/>
        <v>77</v>
      </c>
      <c r="E684" s="74">
        <f t="shared" si="251"/>
        <v>0.9935984898678518</v>
      </c>
      <c r="F684" s="74">
        <f t="shared" si="252"/>
        <v>1.3439035240356338</v>
      </c>
      <c r="G684" s="74">
        <f t="shared" si="253"/>
        <v>98.57097955153152</v>
      </c>
      <c r="H684" s="74">
        <f t="shared" si="254"/>
        <v>26.34648681054474</v>
      </c>
      <c r="I684" s="74">
        <f t="shared" si="261"/>
        <v>34.9476724316321</v>
      </c>
      <c r="J684" s="74">
        <f t="shared" si="262"/>
        <v>26.34648681054474</v>
      </c>
      <c r="K684" s="74">
        <f t="shared" si="263"/>
        <v>37.4577988480803</v>
      </c>
      <c r="L684" s="74">
        <f t="shared" si="255"/>
        <v>1.9319061275832015</v>
      </c>
      <c r="M684" s="74">
        <f t="shared" si="264"/>
        <v>3.409415373203253</v>
      </c>
      <c r="N684" s="74">
        <f t="shared" si="256"/>
        <v>0.2894370209242849</v>
      </c>
      <c r="O684" s="74">
        <f t="shared" si="257"/>
        <v>58.87421560051787</v>
      </c>
      <c r="P684" s="74">
        <f t="shared" si="258"/>
        <v>0.31027400564942226</v>
      </c>
    </row>
    <row r="685" spans="2:16" ht="13.5">
      <c r="B685" s="74">
        <f t="shared" si="248"/>
        <v>42.8634884132591</v>
      </c>
      <c r="C685" s="70">
        <f t="shared" si="250"/>
        <v>56.929</v>
      </c>
      <c r="D685" s="70">
        <f t="shared" si="249"/>
        <v>78</v>
      </c>
      <c r="E685" s="74">
        <f t="shared" si="251"/>
        <v>0.9935984898678518</v>
      </c>
      <c r="F685" s="74">
        <f t="shared" si="252"/>
        <v>1.361356816555577</v>
      </c>
      <c r="G685" s="74">
        <f t="shared" si="253"/>
        <v>98.57097955153152</v>
      </c>
      <c r="H685" s="74">
        <f t="shared" si="254"/>
        <v>24.40614891650218</v>
      </c>
      <c r="I685" s="74">
        <f t="shared" si="261"/>
        <v>32.17574952279962</v>
      </c>
      <c r="J685" s="74">
        <f t="shared" si="262"/>
        <v>24.40614891650218</v>
      </c>
      <c r="K685" s="74">
        <f t="shared" si="263"/>
        <v>36.370545849157565</v>
      </c>
      <c r="L685" s="74">
        <f t="shared" si="255"/>
        <v>1.9493594201031446</v>
      </c>
      <c r="M685" s="74">
        <f t="shared" si="264"/>
        <v>3.4325630767730444</v>
      </c>
      <c r="N685" s="74">
        <f t="shared" si="256"/>
        <v>0.23166750165393885</v>
      </c>
      <c r="O685" s="74">
        <f t="shared" si="257"/>
        <v>57.678512913985124</v>
      </c>
      <c r="P685" s="74">
        <f t="shared" si="258"/>
        <v>0.31965948891216694</v>
      </c>
    </row>
    <row r="686" spans="2:16" ht="13.5">
      <c r="B686" s="74">
        <f t="shared" si="248"/>
        <v>42.640201143406024</v>
      </c>
      <c r="C686" s="70">
        <f t="shared" si="250"/>
        <v>56.929</v>
      </c>
      <c r="D686" s="70">
        <f t="shared" si="249"/>
        <v>79</v>
      </c>
      <c r="E686" s="74">
        <f t="shared" si="251"/>
        <v>0.9935984898678518</v>
      </c>
      <c r="F686" s="74">
        <f t="shared" si="252"/>
        <v>1.3788101090755203</v>
      </c>
      <c r="G686" s="74">
        <f t="shared" si="253"/>
        <v>98.57097955153152</v>
      </c>
      <c r="H686" s="74">
        <f t="shared" si="254"/>
        <v>22.438680258289008</v>
      </c>
      <c r="I686" s="74">
        <f t="shared" si="261"/>
        <v>29.424319295722153</v>
      </c>
      <c r="J686" s="74">
        <f t="shared" si="262"/>
        <v>22.438680258289008</v>
      </c>
      <c r="K686" s="74">
        <f t="shared" si="263"/>
        <v>35.29133085505204</v>
      </c>
      <c r="L686" s="74">
        <f t="shared" si="255"/>
        <v>1.9668127126230877</v>
      </c>
      <c r="M686" s="74">
        <f t="shared" si="264"/>
        <v>3.4570875053272205</v>
      </c>
      <c r="N686" s="74">
        <f t="shared" si="256"/>
        <v>0.17309022039101127</v>
      </c>
      <c r="O686" s="74">
        <f t="shared" si="257"/>
        <v>56.49882055401982</v>
      </c>
      <c r="P686" s="74">
        <f t="shared" si="258"/>
        <v>0.3304732749849379</v>
      </c>
    </row>
    <row r="687" spans="2:16" ht="13.5">
      <c r="B687" s="74">
        <f t="shared" si="248"/>
        <v>42.38760880775865</v>
      </c>
      <c r="C687" s="70">
        <f t="shared" si="250"/>
        <v>56.929</v>
      </c>
      <c r="D687" s="70">
        <f t="shared" si="249"/>
        <v>80</v>
      </c>
      <c r="E687" s="74">
        <f t="shared" si="251"/>
        <v>0.9935984898678518</v>
      </c>
      <c r="F687" s="74">
        <f t="shared" si="252"/>
        <v>1.3962634015954636</v>
      </c>
      <c r="G687" s="74">
        <f t="shared" si="253"/>
        <v>98.57097955153152</v>
      </c>
      <c r="H687" s="74">
        <f t="shared" si="254"/>
        <v>20.442283082501756</v>
      </c>
      <c r="I687" s="74">
        <f t="shared" si="261"/>
        <v>26.691496704743898</v>
      </c>
      <c r="J687" s="74">
        <f t="shared" si="262"/>
        <v>20.442283082501756</v>
      </c>
      <c r="K687" s="74">
        <f t="shared" si="263"/>
        <v>34.21941447956511</v>
      </c>
      <c r="L687" s="74">
        <f t="shared" si="255"/>
        <v>1.9842660051430312</v>
      </c>
      <c r="M687" s="74">
        <f t="shared" si="264"/>
        <v>3.483033492591896</v>
      </c>
      <c r="N687" s="74">
        <f t="shared" si="256"/>
        <v>0.1136516527724497</v>
      </c>
      <c r="O687" s="74">
        <f t="shared" si="257"/>
        <v>55.33309351501324</v>
      </c>
      <c r="P687" s="74">
        <f t="shared" si="258"/>
        <v>0.34274588986182003</v>
      </c>
    </row>
    <row r="688" spans="2:16" ht="13.5">
      <c r="B688" s="74">
        <f t="shared" si="248"/>
        <v>42.10522026274565</v>
      </c>
      <c r="C688" s="70">
        <f t="shared" si="250"/>
        <v>56.929</v>
      </c>
      <c r="D688" s="70">
        <f t="shared" si="249"/>
        <v>81</v>
      </c>
      <c r="E688" s="74">
        <f t="shared" si="251"/>
        <v>0.9935984898678518</v>
      </c>
      <c r="F688" s="74">
        <f t="shared" si="252"/>
        <v>1.413716694115407</v>
      </c>
      <c r="G688" s="74">
        <f t="shared" si="253"/>
        <v>98.57097955153152</v>
      </c>
      <c r="H688" s="74">
        <f t="shared" si="254"/>
        <v>18.415070572518374</v>
      </c>
      <c r="I688" s="74">
        <f t="shared" si="261"/>
        <v>23.97544465412669</v>
      </c>
      <c r="J688" s="74">
        <f t="shared" si="262"/>
        <v>18.415070572518374</v>
      </c>
      <c r="K688" s="74">
        <f t="shared" si="263"/>
        <v>33.15407614426935</v>
      </c>
      <c r="L688" s="74">
        <f t="shared" si="255"/>
        <v>2.0017192976629743</v>
      </c>
      <c r="M688" s="74">
        <f t="shared" si="264"/>
        <v>3.510449285294637</v>
      </c>
      <c r="N688" s="74">
        <f t="shared" si="256"/>
        <v>0.053295622763378</v>
      </c>
      <c r="O688" s="74">
        <f t="shared" si="257"/>
        <v>54.17929494712678</v>
      </c>
      <c r="P688" s="74">
        <f t="shared" si="258"/>
        <v>0.3565118080323947</v>
      </c>
    </row>
    <row r="689" spans="2:16" ht="13.5">
      <c r="B689" s="74">
        <f t="shared" si="248"/>
        <v>43.58134515881722</v>
      </c>
      <c r="C689" s="70">
        <f t="shared" si="250"/>
        <v>56.929</v>
      </c>
      <c r="D689" s="70">
        <f t="shared" si="249"/>
        <v>82</v>
      </c>
      <c r="E689" s="74">
        <f t="shared" si="251"/>
        <v>0.9935984898678518</v>
      </c>
      <c r="F689" s="74">
        <f t="shared" si="252"/>
        <v>1.43116998663535</v>
      </c>
      <c r="G689" s="74">
        <f t="shared" si="253"/>
        <v>98.57097955153152</v>
      </c>
      <c r="H689" s="74">
        <f t="shared" si="254"/>
        <v>21.274368853074545</v>
      </c>
      <c r="I689" s="74">
        <f t="shared" si="261"/>
        <v>21.274368853074545</v>
      </c>
      <c r="J689" s="74">
        <f t="shared" si="262"/>
        <v>16.355059041525283</v>
      </c>
      <c r="K689" s="74">
        <f t="shared" si="263"/>
        <v>32.09461206045451</v>
      </c>
      <c r="L689" s="74">
        <f t="shared" si="255"/>
        <v>2.0191725901829174</v>
      </c>
      <c r="M689" s="74">
        <f t="shared" si="264"/>
        <v>3.539386779747792</v>
      </c>
      <c r="N689" s="74">
        <f t="shared" si="256"/>
        <v>-0.008036929779261789</v>
      </c>
      <c r="O689" s="74">
        <f t="shared" si="257"/>
        <v>55.30552084390421</v>
      </c>
      <c r="P689" s="74">
        <f t="shared" si="258"/>
        <v>0.28514451036682564</v>
      </c>
    </row>
    <row r="690" spans="2:16" ht="13.5">
      <c r="B690" s="74">
        <f t="shared" si="248"/>
        <v>43.03793132377089</v>
      </c>
      <c r="C690" s="70">
        <f t="shared" si="250"/>
        <v>56.929</v>
      </c>
      <c r="D690" s="70">
        <f t="shared" si="249"/>
        <v>83</v>
      </c>
      <c r="E690" s="74">
        <f t="shared" si="251"/>
        <v>0.9935984898678518</v>
      </c>
      <c r="F690" s="74">
        <f t="shared" si="252"/>
        <v>1.4486232791552935</v>
      </c>
      <c r="G690" s="74">
        <f t="shared" si="253"/>
        <v>98.57097955153152</v>
      </c>
      <c r="H690" s="74">
        <f t="shared" si="254"/>
        <v>18.586512906677186</v>
      </c>
      <c r="I690" s="74">
        <f t="shared" si="261"/>
        <v>18.586512906677186</v>
      </c>
      <c r="J690" s="74">
        <f t="shared" si="262"/>
        <v>14.26015943222883</v>
      </c>
      <c r="K690" s="74">
        <f t="shared" si="263"/>
        <v>31.040333303609955</v>
      </c>
      <c r="L690" s="74">
        <f t="shared" si="255"/>
        <v>2.036625882702861</v>
      </c>
      <c r="M690" s="74">
        <f t="shared" si="264"/>
        <v>3.569901782381449</v>
      </c>
      <c r="N690" s="74">
        <f t="shared" si="256"/>
        <v>-0.0704082021850964</v>
      </c>
      <c r="O690" s="74">
        <f t="shared" si="257"/>
        <v>53.88932846377231</v>
      </c>
      <c r="P690" s="74">
        <f t="shared" si="258"/>
        <v>0.31123568267556123</v>
      </c>
    </row>
    <row r="691" spans="2:16" ht="13.5">
      <c r="B691" s="74">
        <f t="shared" si="248"/>
        <v>42.476247409716706</v>
      </c>
      <c r="C691" s="70">
        <f t="shared" si="250"/>
        <v>56.929</v>
      </c>
      <c r="D691" s="70">
        <f t="shared" si="249"/>
        <v>84</v>
      </c>
      <c r="E691" s="74">
        <f t="shared" si="251"/>
        <v>0.9935984898678518</v>
      </c>
      <c r="F691" s="74">
        <f t="shared" si="252"/>
        <v>1.4660765716752369</v>
      </c>
      <c r="G691" s="74">
        <f t="shared" si="253"/>
        <v>98.57097955153152</v>
      </c>
      <c r="H691" s="74">
        <f t="shared" si="254"/>
        <v>15.910153613341771</v>
      </c>
      <c r="I691" s="74">
        <f t="shared" si="261"/>
        <v>15.910153613341771</v>
      </c>
      <c r="J691" s="74">
        <f t="shared" si="262"/>
        <v>12.128168042573405</v>
      </c>
      <c r="K691" s="74">
        <f t="shared" si="263"/>
        <v>29.990563968899536</v>
      </c>
      <c r="L691" s="74">
        <f t="shared" si="255"/>
        <v>2.0540791752228045</v>
      </c>
      <c r="M691" s="74">
        <f t="shared" si="264"/>
        <v>3.602054296824678</v>
      </c>
      <c r="N691" s="74">
        <f t="shared" si="256"/>
        <v>-0.1338838050927462</v>
      </c>
      <c r="O691" s="74">
        <f t="shared" si="257"/>
        <v>52.503529227509205</v>
      </c>
      <c r="P691" s="74">
        <f t="shared" si="258"/>
        <v>0.3384346535080169</v>
      </c>
    </row>
    <row r="692" spans="2:16" ht="13.5">
      <c r="B692" s="74">
        <f t="shared" si="248"/>
        <v>41.896241596366906</v>
      </c>
      <c r="C692" s="70">
        <f t="shared" si="250"/>
        <v>56.929</v>
      </c>
      <c r="D692" s="70">
        <f t="shared" si="249"/>
        <v>85</v>
      </c>
      <c r="E692" s="74">
        <f t="shared" si="251"/>
        <v>0.9935984898678518</v>
      </c>
      <c r="F692" s="74">
        <f t="shared" si="252"/>
        <v>1.4835298641951802</v>
      </c>
      <c r="G692" s="74">
        <f t="shared" si="253"/>
        <v>98.57097955153152</v>
      </c>
      <c r="H692" s="74">
        <f t="shared" si="254"/>
        <v>13.24359644123674</v>
      </c>
      <c r="I692" s="74">
        <f t="shared" si="261"/>
        <v>13.24359644123674</v>
      </c>
      <c r="J692" s="74">
        <f t="shared" si="262"/>
        <v>9.956756386451493</v>
      </c>
      <c r="K692" s="74">
        <f t="shared" si="263"/>
        <v>28.944639396851734</v>
      </c>
      <c r="L692" s="74">
        <f t="shared" si="255"/>
        <v>2.0715324677427476</v>
      </c>
      <c r="M692" s="74">
        <f t="shared" si="264"/>
        <v>3.6359088404790922</v>
      </c>
      <c r="N692" s="74">
        <f t="shared" si="256"/>
        <v>-0.1985330643260647</v>
      </c>
      <c r="O692" s="74">
        <f t="shared" si="257"/>
        <v>51.14586710545542</v>
      </c>
      <c r="P692" s="74">
        <f t="shared" si="258"/>
        <v>0.3667273112924494</v>
      </c>
    </row>
    <row r="693" spans="2:16" ht="13.5">
      <c r="B693" s="74">
        <f t="shared" si="248"/>
        <v>41.29781348361091</v>
      </c>
      <c r="C693" s="70">
        <f t="shared" si="250"/>
        <v>56.929</v>
      </c>
      <c r="D693" s="70">
        <f t="shared" si="249"/>
        <v>86</v>
      </c>
      <c r="E693" s="74">
        <f t="shared" si="251"/>
        <v>0.9935984898678518</v>
      </c>
      <c r="F693" s="74">
        <f t="shared" si="252"/>
        <v>1.5009831567151233</v>
      </c>
      <c r="G693" s="74">
        <f t="shared" si="253"/>
        <v>98.57097955153152</v>
      </c>
      <c r="H693" s="74">
        <f t="shared" si="254"/>
        <v>10.585171157948913</v>
      </c>
      <c r="I693" s="74">
        <f t="shared" si="261"/>
        <v>10.585171157948913</v>
      </c>
      <c r="J693" s="74">
        <f t="shared" si="262"/>
        <v>7.743460086500027</v>
      </c>
      <c r="K693" s="74">
        <f t="shared" si="263"/>
        <v>27.90190445914594</v>
      </c>
      <c r="L693" s="74">
        <f t="shared" si="255"/>
        <v>2.0889857602626907</v>
      </c>
      <c r="M693" s="74">
        <f t="shared" si="264"/>
        <v>3.6715347939252476</v>
      </c>
      <c r="N693" s="74">
        <f t="shared" si="256"/>
        <v>-0.26442935158799213</v>
      </c>
      <c r="O693" s="74">
        <f t="shared" si="257"/>
        <v>49.81416385789807</v>
      </c>
      <c r="P693" s="74">
        <f t="shared" si="258"/>
        <v>0.3960930045007449</v>
      </c>
    </row>
    <row r="694" spans="2:16" ht="13.5">
      <c r="B694" s="74">
        <f t="shared" si="248"/>
        <v>40.68081482390414</v>
      </c>
      <c r="C694" s="70">
        <f t="shared" si="250"/>
        <v>56.929</v>
      </c>
      <c r="D694" s="70">
        <f t="shared" si="249"/>
        <v>87</v>
      </c>
      <c r="E694" s="74">
        <f t="shared" si="251"/>
        <v>0.9935984898678518</v>
      </c>
      <c r="F694" s="74">
        <f t="shared" si="252"/>
        <v>1.5184364492350666</v>
      </c>
      <c r="G694" s="74">
        <f t="shared" si="253"/>
        <v>98.57097955153152</v>
      </c>
      <c r="H694" s="74">
        <f t="shared" si="254"/>
        <v>7.933227588970383</v>
      </c>
      <c r="I694" s="74">
        <f t="shared" si="261"/>
        <v>7.933227588970383</v>
      </c>
      <c r="J694" s="74">
        <f t="shared" si="262"/>
        <v>5.4856666823648865</v>
      </c>
      <c r="K694" s="74">
        <f t="shared" si="263"/>
        <v>26.861711894930572</v>
      </c>
      <c r="L694" s="74">
        <f t="shared" si="255"/>
        <v>2.106439052782634</v>
      </c>
      <c r="M694" s="74">
        <f t="shared" si="264"/>
        <v>3.7090067869585464</v>
      </c>
      <c r="N694" s="74">
        <f t="shared" si="256"/>
        <v>-0.3316504474440855</v>
      </c>
      <c r="O694" s="74">
        <f t="shared" si="257"/>
        <v>48.50631031867977</v>
      </c>
      <c r="P694" s="74">
        <f t="shared" si="258"/>
        <v>0.4265036826831036</v>
      </c>
    </row>
    <row r="695" spans="2:16" ht="13.5">
      <c r="B695" s="74">
        <f t="shared" si="248"/>
        <v>40.0450499853599</v>
      </c>
      <c r="C695" s="70">
        <f t="shared" si="250"/>
        <v>56.929</v>
      </c>
      <c r="D695" s="70">
        <f t="shared" si="249"/>
        <v>88</v>
      </c>
      <c r="E695" s="74">
        <f t="shared" si="251"/>
        <v>0.9935984898678518</v>
      </c>
      <c r="F695" s="74">
        <f t="shared" si="252"/>
        <v>1.53588974175501</v>
      </c>
      <c r="G695" s="74">
        <f t="shared" si="253"/>
        <v>98.57097955153152</v>
      </c>
      <c r="H695" s="74">
        <f t="shared" si="254"/>
        <v>5.286131481813329</v>
      </c>
      <c r="I695" s="74">
        <f t="shared" si="261"/>
        <v>5.286131481813329</v>
      </c>
      <c r="J695" s="74">
        <f t="shared" si="262"/>
        <v>3.180602221976846</v>
      </c>
      <c r="K695" s="74">
        <f t="shared" si="263"/>
        <v>25.823420688572526</v>
      </c>
      <c r="L695" s="74">
        <f t="shared" si="255"/>
        <v>2.1238923453025773</v>
      </c>
      <c r="M695" s="74">
        <f t="shared" si="264"/>
        <v>3.7484051255774977</v>
      </c>
      <c r="N695" s="74">
        <f t="shared" si="256"/>
        <v>-0.4002789405393484</v>
      </c>
      <c r="O695" s="74">
        <f t="shared" si="257"/>
        <v>47.220258104292036</v>
      </c>
      <c r="P695" s="74">
        <f t="shared" si="258"/>
        <v>0.4579231210702433</v>
      </c>
    </row>
    <row r="696" spans="2:16" ht="13.5">
      <c r="B696" s="74">
        <f t="shared" si="248"/>
        <v>39.39027615404186</v>
      </c>
      <c r="C696" s="70">
        <f t="shared" si="250"/>
        <v>56.929</v>
      </c>
      <c r="D696" s="70">
        <f t="shared" si="249"/>
        <v>89</v>
      </c>
      <c r="E696" s="74">
        <f t="shared" si="251"/>
        <v>0.9935984898678518</v>
      </c>
      <c r="F696" s="74">
        <f t="shared" si="252"/>
        <v>1.5533430342749535</v>
      </c>
      <c r="G696" s="74">
        <f t="shared" si="253"/>
        <v>98.57097955153152</v>
      </c>
      <c r="H696" s="74">
        <f t="shared" si="254"/>
        <v>2.642260453508916</v>
      </c>
      <c r="I696" s="74">
        <f t="shared" si="261"/>
        <v>2.642260453508916</v>
      </c>
      <c r="J696" s="74">
        <f t="shared" si="262"/>
        <v>0.8253164850416557</v>
      </c>
      <c r="K696" s="74">
        <f t="shared" si="263"/>
        <v>24.78639448011291</v>
      </c>
      <c r="L696" s="74">
        <f t="shared" si="255"/>
        <v>2.141345637822521</v>
      </c>
      <c r="M696" s="74">
        <f t="shared" si="264"/>
        <v>3.7898162648555984</v>
      </c>
      <c r="N696" s="74">
        <f t="shared" si="256"/>
        <v>-0.47040266753803595</v>
      </c>
      <c r="O696" s="74">
        <f t="shared" si="257"/>
        <v>45.95401168683987</v>
      </c>
      <c r="P696" s="74">
        <f t="shared" si="258"/>
        <v>0.49030627028203055</v>
      </c>
    </row>
    <row r="697" spans="2:16" ht="13.5">
      <c r="B697" s="74">
        <f t="shared" si="248"/>
        <v>38.71620328145786</v>
      </c>
      <c r="C697" s="70">
        <f t="shared" si="250"/>
        <v>56.929</v>
      </c>
      <c r="D697" s="70">
        <f t="shared" si="249"/>
        <v>90</v>
      </c>
      <c r="E697" s="74">
        <f t="shared" si="251"/>
        <v>0.9935984898678518</v>
      </c>
      <c r="F697" s="74">
        <f t="shared" si="252"/>
        <v>1.5707963267948966</v>
      </c>
      <c r="G697" s="74">
        <f t="shared" si="253"/>
        <v>98.57097955153152</v>
      </c>
      <c r="H697" s="74">
        <f t="shared" si="254"/>
        <v>9.272842368089618E-15</v>
      </c>
      <c r="I697" s="74">
        <f t="shared" si="261"/>
        <v>9.272842368089618E-15</v>
      </c>
      <c r="J697" s="74">
        <f t="shared" si="262"/>
        <v>-1.5833333333333073</v>
      </c>
      <c r="K697" s="74">
        <f t="shared" si="263"/>
        <v>23.750000000000007</v>
      </c>
      <c r="L697" s="74">
        <f t="shared" si="255"/>
        <v>2.158798930342464</v>
      </c>
      <c r="M697" s="74">
        <f t="shared" si="264"/>
        <v>3.8333333333333317</v>
      </c>
      <c r="N697" s="74">
        <f t="shared" si="256"/>
        <v>-0.5421151989096857</v>
      </c>
      <c r="O697" s="74">
        <f t="shared" si="257"/>
        <v>44.70562077309993</v>
      </c>
      <c r="P697" s="74">
        <f t="shared" si="258"/>
        <v>0.5235987755982986</v>
      </c>
    </row>
    <row r="698" spans="2:16" ht="13.5">
      <c r="B698" s="74">
        <f t="shared" si="248"/>
        <v>41.91043642740817</v>
      </c>
      <c r="C698" s="70">
        <f>C697+J600</f>
        <v>57.313</v>
      </c>
      <c r="D698" s="70">
        <f t="shared" si="249"/>
        <v>60</v>
      </c>
      <c r="E698" s="74">
        <f t="shared" si="251"/>
        <v>1.0003005541955101</v>
      </c>
      <c r="F698" s="74">
        <f t="shared" si="252"/>
        <v>1.0471975511965976</v>
      </c>
      <c r="G698" s="74">
        <f t="shared" si="253"/>
        <v>97.13252835590282</v>
      </c>
      <c r="H698" s="74">
        <f t="shared" si="254"/>
        <v>56.61327536344993</v>
      </c>
      <c r="I698" s="74">
        <f t="shared" si="261"/>
        <v>87.39639699857963</v>
      </c>
      <c r="J698" s="74">
        <f t="shared" si="262"/>
        <v>56.61327536344993</v>
      </c>
      <c r="K698" s="74">
        <f t="shared" si="263"/>
        <v>58.03017223313404</v>
      </c>
      <c r="L698" s="74">
        <f t="shared" si="255"/>
        <v>1.6352001547441652</v>
      </c>
      <c r="M698" s="74">
        <f t="shared" si="264"/>
        <v>3.196152422706631</v>
      </c>
      <c r="N698" s="74">
        <f t="shared" si="256"/>
        <v>1.1905676074715958</v>
      </c>
      <c r="O698" s="74">
        <f t="shared" si="257"/>
        <v>83.82087285481636</v>
      </c>
      <c r="P698" s="74">
        <f t="shared" si="258"/>
        <v>0.3642258324626933</v>
      </c>
    </row>
    <row r="699" spans="2:16" ht="13.5">
      <c r="B699" s="74">
        <f t="shared" si="248"/>
        <v>42.228285659224206</v>
      </c>
      <c r="C699" s="70">
        <f>C698</f>
        <v>57.313</v>
      </c>
      <c r="D699" s="70">
        <f t="shared" si="249"/>
        <v>61</v>
      </c>
      <c r="E699" s="74">
        <f t="shared" si="251"/>
        <v>1.0003005541955101</v>
      </c>
      <c r="F699" s="74">
        <f t="shared" si="252"/>
        <v>1.064650843716541</v>
      </c>
      <c r="G699" s="74">
        <f t="shared" si="253"/>
        <v>97.13252835590282</v>
      </c>
      <c r="H699" s="74">
        <f t="shared" si="254"/>
        <v>54.91741842603781</v>
      </c>
      <c r="I699" s="74">
        <f t="shared" si="261"/>
        <v>83.90853266366291</v>
      </c>
      <c r="J699" s="74">
        <f t="shared" si="262"/>
        <v>54.91741842603781</v>
      </c>
      <c r="K699" s="74">
        <f t="shared" si="263"/>
        <v>56.662099930008154</v>
      </c>
      <c r="L699" s="74">
        <f t="shared" si="255"/>
        <v>1.6526534472641083</v>
      </c>
      <c r="M699" s="74">
        <f t="shared" si="264"/>
        <v>3.200241894286732</v>
      </c>
      <c r="N699" s="74">
        <f t="shared" si="256"/>
        <v>1.1400769994561701</v>
      </c>
      <c r="O699" s="74">
        <f t="shared" si="257"/>
        <v>81.99060946435644</v>
      </c>
      <c r="P699" s="74">
        <f t="shared" si="258"/>
        <v>0.34890716988678905</v>
      </c>
    </row>
    <row r="700" spans="2:16" ht="13.5">
      <c r="B700" s="74">
        <f t="shared" si="248"/>
        <v>42.510910404080946</v>
      </c>
      <c r="C700" s="70">
        <f aca="true" t="shared" si="265" ref="C700:C723">C699</f>
        <v>57.313</v>
      </c>
      <c r="D700" s="70">
        <f>D669</f>
        <v>62</v>
      </c>
      <c r="E700" s="74">
        <f t="shared" si="251"/>
        <v>1.0003005541955101</v>
      </c>
      <c r="F700" s="74">
        <f t="shared" si="252"/>
        <v>1.0821041362364843</v>
      </c>
      <c r="G700" s="74">
        <f t="shared" si="253"/>
        <v>97.13252835590282</v>
      </c>
      <c r="H700" s="74">
        <f t="shared" si="254"/>
        <v>53.21669751699319</v>
      </c>
      <c r="I700" s="74">
        <f t="shared" si="261"/>
        <v>80.48751521775635</v>
      </c>
      <c r="J700" s="74">
        <f t="shared" si="262"/>
        <v>53.21669751699319</v>
      </c>
      <c r="K700" s="74">
        <f t="shared" si="263"/>
        <v>55.3202475049003</v>
      </c>
      <c r="L700" s="74">
        <f t="shared" si="255"/>
        <v>1.6701067397840519</v>
      </c>
      <c r="M700" s="74">
        <f t="shared" si="264"/>
        <v>3.205319466443784</v>
      </c>
      <c r="N700" s="74">
        <f t="shared" si="256"/>
        <v>1.0894415768165406</v>
      </c>
      <c r="O700" s="74">
        <f t="shared" si="257"/>
        <v>80.22148518339749</v>
      </c>
      <c r="P700" s="74">
        <f t="shared" si="258"/>
        <v>0.3353363814834514</v>
      </c>
    </row>
    <row r="701" spans="2:16" ht="13.5">
      <c r="B701" s="74">
        <f t="shared" si="248"/>
        <v>42.75944516468049</v>
      </c>
      <c r="C701" s="70">
        <f t="shared" si="265"/>
        <v>57.313</v>
      </c>
      <c r="D701" s="70">
        <f t="shared" si="249"/>
        <v>63</v>
      </c>
      <c r="E701" s="74">
        <f t="shared" si="251"/>
        <v>1.0003005541955101</v>
      </c>
      <c r="F701" s="74">
        <f t="shared" si="252"/>
        <v>1.0995574287564276</v>
      </c>
      <c r="G701" s="74">
        <f t="shared" si="253"/>
        <v>97.13252835590282</v>
      </c>
      <c r="H701" s="74">
        <f t="shared" si="254"/>
        <v>51.51005054407396</v>
      </c>
      <c r="I701" s="74">
        <f t="shared" si="261"/>
        <v>77.12941491721917</v>
      </c>
      <c r="J701" s="74">
        <f t="shared" si="262"/>
        <v>51.51005054407396</v>
      </c>
      <c r="K701" s="74">
        <f t="shared" si="263"/>
        <v>54.00307356373172</v>
      </c>
      <c r="L701" s="74">
        <f t="shared" si="255"/>
        <v>1.687560032303995</v>
      </c>
      <c r="M701" s="74">
        <f t="shared" si="264"/>
        <v>3.2113929525108333</v>
      </c>
      <c r="N701" s="74">
        <f t="shared" si="256"/>
        <v>1.0386297179684278</v>
      </c>
      <c r="O701" s="74">
        <f t="shared" si="257"/>
        <v>78.5096961761118</v>
      </c>
      <c r="P701" s="74">
        <f t="shared" si="258"/>
        <v>0.3234454841340415</v>
      </c>
    </row>
    <row r="702" spans="2:16" ht="13.5">
      <c r="B702" s="74">
        <f t="shared" si="248"/>
        <v>42.97490248921957</v>
      </c>
      <c r="C702" s="70">
        <f t="shared" si="265"/>
        <v>57.313</v>
      </c>
      <c r="D702" s="70">
        <f t="shared" si="249"/>
        <v>64</v>
      </c>
      <c r="E702" s="74">
        <f t="shared" si="251"/>
        <v>1.0003005541955101</v>
      </c>
      <c r="F702" s="74">
        <f t="shared" si="252"/>
        <v>1.117010721276371</v>
      </c>
      <c r="G702" s="74">
        <f t="shared" si="253"/>
        <v>97.13252835590282</v>
      </c>
      <c r="H702" s="74">
        <f t="shared" si="254"/>
        <v>49.7964007486329</v>
      </c>
      <c r="I702" s="74">
        <f aca="true" t="shared" si="266" ref="I702:I755">(0.5*$D$3*$D$9+$D$6)*$D$9/TAN(F702)</f>
        <v>73.83052059415728</v>
      </c>
      <c r="J702" s="74">
        <f t="shared" si="262"/>
        <v>49.7964007486329</v>
      </c>
      <c r="K702" s="74">
        <f aca="true" t="shared" si="267" ref="K702:K755">0.5*$D$3*$D$8^2*(1/TAN(F702)-1/TAN($D$16))+$G$19</f>
        <v>52.70912244609802</v>
      </c>
      <c r="L702" s="74">
        <f t="shared" si="255"/>
        <v>1.7050133248239385</v>
      </c>
      <c r="M702" s="74">
        <f t="shared" si="264"/>
        <v>3.21847173736185</v>
      </c>
      <c r="N702" s="74">
        <f t="shared" si="256"/>
        <v>0.9876093646658881</v>
      </c>
      <c r="O702" s="74">
        <f t="shared" si="257"/>
        <v>76.85165927980651</v>
      </c>
      <c r="P702" s="74">
        <f t="shared" si="258"/>
        <v>0.31317224967965496</v>
      </c>
    </row>
    <row r="703" spans="2:16" ht="13.5">
      <c r="B703" s="74">
        <f t="shared" si="248"/>
        <v>43.15818042561631</v>
      </c>
      <c r="C703" s="70">
        <f t="shared" si="265"/>
        <v>57.313</v>
      </c>
      <c r="D703" s="70">
        <f t="shared" si="249"/>
        <v>65</v>
      </c>
      <c r="E703" s="74">
        <f t="shared" si="251"/>
        <v>1.0003005541955101</v>
      </c>
      <c r="F703" s="74">
        <f t="shared" si="252"/>
        <v>1.1344640137963142</v>
      </c>
      <c r="G703" s="74">
        <f t="shared" si="253"/>
        <v>97.13252835590282</v>
      </c>
      <c r="H703" s="74">
        <f t="shared" si="254"/>
        <v>48.07465394252364</v>
      </c>
      <c r="I703" s="74">
        <f t="shared" si="266"/>
        <v>70.58732175321292</v>
      </c>
      <c r="J703" s="74">
        <f t="shared" si="262"/>
        <v>48.07465394252364</v>
      </c>
      <c r="K703" s="74">
        <f t="shared" si="267"/>
        <v>51.43701720295304</v>
      </c>
      <c r="L703" s="74">
        <f t="shared" si="255"/>
        <v>1.7224666173438816</v>
      </c>
      <c r="M703" s="74">
        <f t="shared" si="264"/>
        <v>3.2265668130425462</v>
      </c>
      <c r="N703" s="74">
        <f t="shared" si="256"/>
        <v>0.9363479397359457</v>
      </c>
      <c r="O703" s="74">
        <f t="shared" si="257"/>
        <v>75.24399136787794</v>
      </c>
      <c r="P703" s="74">
        <f t="shared" si="258"/>
        <v>0.3044606062057877</v>
      </c>
    </row>
    <row r="704" spans="2:16" ht="13.5">
      <c r="B704" s="74">
        <f t="shared" si="248"/>
        <v>43.31006904398381</v>
      </c>
      <c r="C704" s="70">
        <f t="shared" si="265"/>
        <v>57.313</v>
      </c>
      <c r="D704" s="70">
        <f t="shared" si="249"/>
        <v>66</v>
      </c>
      <c r="E704" s="74">
        <f t="shared" si="251"/>
        <v>1.0003005541955101</v>
      </c>
      <c r="F704" s="74">
        <f t="shared" si="252"/>
        <v>1.1519173063162575</v>
      </c>
      <c r="G704" s="74">
        <f t="shared" si="253"/>
        <v>97.13252835590282</v>
      </c>
      <c r="H704" s="74">
        <f t="shared" si="254"/>
        <v>46.34369565210348</v>
      </c>
      <c r="I704" s="74">
        <f t="shared" si="266"/>
        <v>67.39649223857965</v>
      </c>
      <c r="J704" s="74">
        <f t="shared" si="262"/>
        <v>46.34369565210348</v>
      </c>
      <c r="K704" s="74">
        <f t="shared" si="267"/>
        <v>50.18545319019432</v>
      </c>
      <c r="L704" s="74">
        <f t="shared" si="255"/>
        <v>1.7399199098638252</v>
      </c>
      <c r="M704" s="74">
        <f t="shared" si="264"/>
        <v>3.235690820800044</v>
      </c>
      <c r="N704" s="74">
        <f t="shared" si="256"/>
        <v>0.8848122620472225</v>
      </c>
      <c r="O704" s="74">
        <f t="shared" si="257"/>
        <v>73.68349048409496</v>
      </c>
      <c r="P704" s="74">
        <f t="shared" si="258"/>
        <v>0.2972608694759976</v>
      </c>
    </row>
    <row r="705" spans="2:16" ht="13.5">
      <c r="B705" s="74">
        <f t="shared" si="248"/>
        <v>43.431256111751324</v>
      </c>
      <c r="C705" s="70">
        <f t="shared" si="265"/>
        <v>57.313</v>
      </c>
      <c r="D705" s="70">
        <f t="shared" si="249"/>
        <v>67</v>
      </c>
      <c r="E705" s="74">
        <f t="shared" si="251"/>
        <v>1.0003005541955101</v>
      </c>
      <c r="F705" s="74">
        <f t="shared" si="252"/>
        <v>1.1693705988362006</v>
      </c>
      <c r="G705" s="74">
        <f t="shared" si="253"/>
        <v>97.13252835590282</v>
      </c>
      <c r="H705" s="74">
        <f t="shared" si="254"/>
        <v>44.602388153158174</v>
      </c>
      <c r="I705" s="74">
        <f t="shared" si="266"/>
        <v>64.25487530372895</v>
      </c>
      <c r="J705" s="74">
        <f t="shared" si="262"/>
        <v>44.602388153158174</v>
      </c>
      <c r="K705" s="74">
        <f t="shared" si="267"/>
        <v>48.95319221244529</v>
      </c>
      <c r="L705" s="74">
        <f t="shared" si="255"/>
        <v>1.7573732023837683</v>
      </c>
      <c r="M705" s="74">
        <f t="shared" si="264"/>
        <v>3.2458580998131934</v>
      </c>
      <c r="N705" s="74">
        <f t="shared" si="256"/>
        <v>0.8329684582310031</v>
      </c>
      <c r="O705" s="74">
        <f t="shared" si="257"/>
        <v>72.16711853465719</v>
      </c>
      <c r="P705" s="74">
        <f t="shared" si="258"/>
        <v>0.2915298500762502</v>
      </c>
    </row>
    <row r="706" spans="2:16" ht="13.5">
      <c r="B706" s="74">
        <f t="shared" si="248"/>
        <v>43.52233199349994</v>
      </c>
      <c r="C706" s="70">
        <f t="shared" si="265"/>
        <v>57.313</v>
      </c>
      <c r="D706" s="70">
        <f>D675</f>
        <v>68</v>
      </c>
      <c r="E706" s="74">
        <f t="shared" si="251"/>
        <v>1.0003005541955101</v>
      </c>
      <c r="F706" s="74">
        <f t="shared" si="252"/>
        <v>1.1868238913561442</v>
      </c>
      <c r="G706" s="74">
        <f t="shared" si="253"/>
        <v>97.13252835590282</v>
      </c>
      <c r="H706" s="74">
        <f t="shared" si="254"/>
        <v>42.84956737955771</v>
      </c>
      <c r="I706" s="74">
        <f t="shared" si="266"/>
        <v>61.15946993579685</v>
      </c>
      <c r="J706" s="74">
        <f t="shared" si="262"/>
        <v>42.84956737955771</v>
      </c>
      <c r="K706" s="74">
        <f t="shared" si="267"/>
        <v>47.739057158962424</v>
      </c>
      <c r="L706" s="74">
        <f t="shared" si="255"/>
        <v>1.7748264949037118</v>
      </c>
      <c r="M706" s="74">
        <f t="shared" si="264"/>
        <v>3.2570847429771757</v>
      </c>
      <c r="N706" s="74">
        <f t="shared" si="256"/>
        <v>0.7807818706428962</v>
      </c>
      <c r="O706" s="74">
        <f t="shared" si="257"/>
        <v>70.69198534873162</v>
      </c>
      <c r="P706" s="74">
        <f t="shared" si="258"/>
        <v>0.28723087214419024</v>
      </c>
    </row>
    <row r="707" spans="2:16" ht="13.5">
      <c r="B707" s="74">
        <f t="shared" si="248"/>
        <v>43.583793836710186</v>
      </c>
      <c r="C707" s="70">
        <f t="shared" si="265"/>
        <v>57.313</v>
      </c>
      <c r="D707" s="70">
        <f t="shared" si="249"/>
        <v>69</v>
      </c>
      <c r="E707" s="74">
        <f t="shared" si="251"/>
        <v>1.0003005541955101</v>
      </c>
      <c r="F707" s="74">
        <f t="shared" si="252"/>
        <v>1.2042771838760873</v>
      </c>
      <c r="G707" s="74">
        <f t="shared" si="253"/>
        <v>97.13252835590282</v>
      </c>
      <c r="H707" s="74">
        <f t="shared" si="254"/>
        <v>41.08403968726031</v>
      </c>
      <c r="I707" s="74">
        <f t="shared" si="266"/>
        <v>58.107418303486085</v>
      </c>
      <c r="J707" s="74">
        <f t="shared" si="262"/>
        <v>41.08403968726031</v>
      </c>
      <c r="K707" s="74">
        <f t="shared" si="267"/>
        <v>46.54192708022782</v>
      </c>
      <c r="L707" s="74">
        <f t="shared" si="255"/>
        <v>1.792279787423655</v>
      </c>
      <c r="M707" s="74">
        <f t="shared" si="264"/>
        <v>3.2693886601519666</v>
      </c>
      <c r="N707" s="74">
        <f t="shared" si="256"/>
        <v>0.7282169610177962</v>
      </c>
      <c r="O707" s="74">
        <f t="shared" si="257"/>
        <v>69.25533393889135</v>
      </c>
      <c r="P707" s="74">
        <f t="shared" si="258"/>
        <v>0.2843337312296465</v>
      </c>
    </row>
    <row r="708" spans="2:16" ht="13.5">
      <c r="B708" s="74">
        <f t="shared" si="248"/>
        <v>43.61604909496574</v>
      </c>
      <c r="C708" s="70">
        <f t="shared" si="265"/>
        <v>57.313</v>
      </c>
      <c r="D708" s="70">
        <f t="shared" si="249"/>
        <v>70</v>
      </c>
      <c r="E708" s="74">
        <f t="shared" si="251"/>
        <v>1.0003005541955101</v>
      </c>
      <c r="F708" s="74">
        <f t="shared" si="252"/>
        <v>1.2217304763960306</v>
      </c>
      <c r="G708" s="74">
        <f t="shared" si="253"/>
        <v>97.13252835590282</v>
      </c>
      <c r="H708" s="74">
        <f t="shared" si="254"/>
        <v>39.30457845389725</v>
      </c>
      <c r="I708" s="74">
        <f t="shared" si="266"/>
        <v>55.09599421204639</v>
      </c>
      <c r="J708" s="74">
        <f t="shared" si="262"/>
        <v>39.30457845389725</v>
      </c>
      <c r="K708" s="74">
        <f t="shared" si="267"/>
        <v>45.360732659555765</v>
      </c>
      <c r="L708" s="74">
        <f t="shared" si="255"/>
        <v>1.809733079943598</v>
      </c>
      <c r="M708" s="74">
        <f t="shared" si="264"/>
        <v>3.2827896493451227</v>
      </c>
      <c r="N708" s="74">
        <f t="shared" si="256"/>
        <v>0.6752372092296027</v>
      </c>
      <c r="O708" s="74">
        <f t="shared" si="257"/>
        <v>67.85452681055173</v>
      </c>
      <c r="P708" s="74">
        <f t="shared" si="258"/>
        <v>0.28281461179586487</v>
      </c>
    </row>
    <row r="709" spans="2:16" ht="13.5">
      <c r="B709" s="74">
        <f t="shared" si="248"/>
        <v>43.61941843150953</v>
      </c>
      <c r="C709" s="70">
        <f t="shared" si="265"/>
        <v>57.313</v>
      </c>
      <c r="D709" s="70">
        <f t="shared" si="249"/>
        <v>71</v>
      </c>
      <c r="E709" s="74">
        <f t="shared" si="251"/>
        <v>1.0003005541955101</v>
      </c>
      <c r="F709" s="74">
        <f t="shared" si="252"/>
        <v>1.239183768915974</v>
      </c>
      <c r="G709" s="74">
        <f t="shared" si="253"/>
        <v>97.13252835590282</v>
      </c>
      <c r="H709" s="74">
        <f t="shared" si="254"/>
        <v>37.50992049257642</v>
      </c>
      <c r="I709" s="74">
        <f t="shared" si="266"/>
        <v>52.12259246172309</v>
      </c>
      <c r="J709" s="74">
        <f t="shared" si="262"/>
        <v>37.50992049257642</v>
      </c>
      <c r="K709" s="74">
        <f t="shared" si="267"/>
        <v>44.19445203907388</v>
      </c>
      <c r="L709" s="74">
        <f t="shared" si="255"/>
        <v>1.8271863724635415</v>
      </c>
      <c r="M709" s="74">
        <f t="shared" si="264"/>
        <v>3.297309476365921</v>
      </c>
      <c r="N709" s="74">
        <f t="shared" si="256"/>
        <v>0.6218050065196917</v>
      </c>
      <c r="O709" s="74">
        <f t="shared" si="257"/>
        <v>66.48703318454089</v>
      </c>
      <c r="P709" s="74">
        <f t="shared" si="258"/>
        <v>0.28265597896773637</v>
      </c>
    </row>
    <row r="710" spans="2:16" ht="13.5">
      <c r="B710" s="74">
        <f t="shared" si="248"/>
        <v>43.59413803822369</v>
      </c>
      <c r="C710" s="70">
        <f t="shared" si="265"/>
        <v>57.313</v>
      </c>
      <c r="D710" s="70">
        <f t="shared" si="249"/>
        <v>72</v>
      </c>
      <c r="E710" s="74">
        <f t="shared" si="251"/>
        <v>1.0003005541955101</v>
      </c>
      <c r="F710" s="74">
        <f t="shared" si="252"/>
        <v>1.2566370614359172</v>
      </c>
      <c r="G710" s="74">
        <f t="shared" si="253"/>
        <v>97.13252835590282</v>
      </c>
      <c r="H710" s="74">
        <f t="shared" si="254"/>
        <v>35.698762256707205</v>
      </c>
      <c r="I710" s="74">
        <f t="shared" si="266"/>
        <v>49.18471901725621</v>
      </c>
      <c r="J710" s="74">
        <f t="shared" si="262"/>
        <v>35.698762256707205</v>
      </c>
      <c r="K710" s="74">
        <f t="shared" si="267"/>
        <v>43.042106963828815</v>
      </c>
      <c r="L710" s="74">
        <f t="shared" si="255"/>
        <v>1.8446396649834846</v>
      </c>
      <c r="M710" s="74">
        <f t="shared" si="264"/>
        <v>3.3129719635610875</v>
      </c>
      <c r="N710" s="74">
        <f t="shared" si="256"/>
        <v>0.5678815425034818</v>
      </c>
      <c r="O710" s="74">
        <f t="shared" si="257"/>
        <v>65.15041700968604</v>
      </c>
      <c r="P710" s="74">
        <f t="shared" si="258"/>
        <v>0.28384645416611254</v>
      </c>
    </row>
    <row r="711" spans="2:16" ht="13.5">
      <c r="B711" s="74">
        <f t="shared" si="248"/>
        <v>43.540361397943826</v>
      </c>
      <c r="C711" s="70">
        <f t="shared" si="265"/>
        <v>57.313</v>
      </c>
      <c r="D711" s="70">
        <f t="shared" si="249"/>
        <v>73</v>
      </c>
      <c r="E711" s="74">
        <f t="shared" si="251"/>
        <v>1.0003005541955101</v>
      </c>
      <c r="F711" s="74">
        <f t="shared" si="252"/>
        <v>1.2740903539558606</v>
      </c>
      <c r="G711" s="74">
        <f t="shared" si="253"/>
        <v>97.13252835590282</v>
      </c>
      <c r="H711" s="74">
        <f t="shared" si="254"/>
        <v>33.86975581055276</v>
      </c>
      <c r="I711" s="74">
        <f t="shared" si="266"/>
        <v>46.27998190580472</v>
      </c>
      <c r="J711" s="74">
        <f t="shared" si="262"/>
        <v>33.86975581055276</v>
      </c>
      <c r="K711" s="74">
        <f t="shared" si="267"/>
        <v>41.90275921160796</v>
      </c>
      <c r="L711" s="74">
        <f t="shared" si="255"/>
        <v>1.8620929575034282</v>
      </c>
      <c r="M711" s="74">
        <f t="shared" si="264"/>
        <v>3.3298030883232532</v>
      </c>
      <c r="N711" s="74">
        <f t="shared" si="256"/>
        <v>0.5134266852020202</v>
      </c>
      <c r="O711" s="74">
        <f t="shared" si="257"/>
        <v>63.84232565303204</v>
      </c>
      <c r="P711" s="74">
        <f t="shared" si="258"/>
        <v>0.28638068002874</v>
      </c>
    </row>
    <row r="712" spans="2:16" ht="13.5">
      <c r="B712" s="74">
        <f t="shared" si="248"/>
        <v>43.458160511379965</v>
      </c>
      <c r="C712" s="70">
        <f t="shared" si="265"/>
        <v>57.313</v>
      </c>
      <c r="D712" s="70">
        <f t="shared" si="249"/>
        <v>74</v>
      </c>
      <c r="E712" s="74">
        <f t="shared" si="251"/>
        <v>1.0003005541955101</v>
      </c>
      <c r="F712" s="74">
        <f t="shared" si="252"/>
        <v>1.2915436464758039</v>
      </c>
      <c r="G712" s="74">
        <f t="shared" si="253"/>
        <v>97.13252835590282</v>
      </c>
      <c r="H712" s="74">
        <f t="shared" si="254"/>
        <v>32.02150453781869</v>
      </c>
      <c r="I712" s="74">
        <f t="shared" si="266"/>
        <v>43.40608276923955</v>
      </c>
      <c r="J712" s="74">
        <f t="shared" si="262"/>
        <v>32.02150453781869</v>
      </c>
      <c r="K712" s="74">
        <f t="shared" si="267"/>
        <v>40.77550727942922</v>
      </c>
      <c r="L712" s="74">
        <f t="shared" si="255"/>
        <v>1.8795462500233713</v>
      </c>
      <c r="M712" s="74">
        <f t="shared" si="264"/>
        <v>3.347831092152982</v>
      </c>
      <c r="N712" s="74">
        <f t="shared" si="256"/>
        <v>0.4583988532741495</v>
      </c>
      <c r="O712" s="74">
        <f t="shared" si="257"/>
        <v>62.56047916426152</v>
      </c>
      <c r="P712" s="74">
        <f t="shared" si="258"/>
        <v>0.2902591763074328</v>
      </c>
    </row>
    <row r="713" spans="2:16" ht="13.5">
      <c r="B713" s="74">
        <f t="shared" si="248"/>
        <v>43.34752660367432</v>
      </c>
      <c r="C713" s="70">
        <f t="shared" si="265"/>
        <v>57.313</v>
      </c>
      <c r="D713" s="70">
        <f t="shared" si="249"/>
        <v>75</v>
      </c>
      <c r="E713" s="74">
        <f t="shared" si="251"/>
        <v>1.0003005541955101</v>
      </c>
      <c r="F713" s="74">
        <f t="shared" si="252"/>
        <v>1.3089969389957472</v>
      </c>
      <c r="G713" s="74">
        <f t="shared" si="253"/>
        <v>97.13252835590282</v>
      </c>
      <c r="H713" s="74">
        <f t="shared" si="254"/>
        <v>30.152558557855457</v>
      </c>
      <c r="I713" s="74">
        <f t="shared" si="266"/>
        <v>40.560809004261195</v>
      </c>
      <c r="J713" s="74">
        <f aca="true" t="shared" si="268" ref="J713:J745">0.5*$J$18*N713*$D$3+$G$18</f>
        <v>30.152558557855457</v>
      </c>
      <c r="K713" s="74">
        <f t="shared" si="267"/>
        <v>39.65948330059791</v>
      </c>
      <c r="L713" s="74">
        <f t="shared" si="255"/>
        <v>1.8969995425433148</v>
      </c>
      <c r="M713" s="74">
        <f aca="true" t="shared" si="269" ref="M713:M744">J$18/SIN(L713)*SIN(J$19)</f>
        <v>3.3670866011551928</v>
      </c>
      <c r="N713" s="74">
        <f t="shared" si="256"/>
        <v>0.4027548795434824</v>
      </c>
      <c r="O713" s="74">
        <f t="shared" si="257"/>
        <v>61.302660018244765</v>
      </c>
      <c r="P713" s="74">
        <f t="shared" si="258"/>
        <v>0.29548818506182234</v>
      </c>
    </row>
    <row r="714" spans="2:16" ht="13.5">
      <c r="B714" s="74">
        <f t="shared" si="248"/>
        <v>43.20837031966518</v>
      </c>
      <c r="C714" s="70">
        <f t="shared" si="265"/>
        <v>57.313</v>
      </c>
      <c r="D714" s="70">
        <f t="shared" si="249"/>
        <v>76</v>
      </c>
      <c r="E714" s="74">
        <f t="shared" si="251"/>
        <v>1.0003005541955101</v>
      </c>
      <c r="F714" s="74">
        <f t="shared" si="252"/>
        <v>1.3264502315156903</v>
      </c>
      <c r="G714" s="74">
        <f t="shared" si="253"/>
        <v>97.13252835590282</v>
      </c>
      <c r="H714" s="74">
        <f t="shared" si="254"/>
        <v>28.2614098159386</v>
      </c>
      <c r="I714" s="74">
        <f t="shared" si="266"/>
        <v>37.7420264303865</v>
      </c>
      <c r="J714" s="74">
        <f t="shared" si="268"/>
        <v>28.2614098159386</v>
      </c>
      <c r="K714" s="74">
        <f t="shared" si="267"/>
        <v>38.55385016881386</v>
      </c>
      <c r="L714" s="74">
        <f t="shared" si="255"/>
        <v>1.914452835063258</v>
      </c>
      <c r="M714" s="74">
        <f t="shared" si="269"/>
        <v>3.3876027589624966</v>
      </c>
      <c r="N714" s="74">
        <f t="shared" si="256"/>
        <v>0.34644986482172163</v>
      </c>
      <c r="O714" s="74">
        <f t="shared" si="257"/>
        <v>60.066703245564234</v>
      </c>
      <c r="P714" s="74">
        <f t="shared" si="258"/>
        <v>0.3020795002756645</v>
      </c>
    </row>
    <row r="715" spans="2:16" ht="13.5">
      <c r="B715" s="74">
        <f t="shared" si="248"/>
        <v>43.040521411136176</v>
      </c>
      <c r="C715" s="70">
        <f t="shared" si="265"/>
        <v>57.313</v>
      </c>
      <c r="D715" s="70">
        <f t="shared" si="249"/>
        <v>77</v>
      </c>
      <c r="E715" s="74">
        <f t="shared" si="251"/>
        <v>1.0003005541955101</v>
      </c>
      <c r="F715" s="74">
        <f t="shared" si="252"/>
        <v>1.3439035240356338</v>
      </c>
      <c r="G715" s="74">
        <f t="shared" si="253"/>
        <v>97.13252835590282</v>
      </c>
      <c r="H715" s="74">
        <f t="shared" si="254"/>
        <v>26.34648681054474</v>
      </c>
      <c r="I715" s="74">
        <f t="shared" si="266"/>
        <v>34.9476724316321</v>
      </c>
      <c r="J715" s="74">
        <f t="shared" si="268"/>
        <v>26.34648681054474</v>
      </c>
      <c r="K715" s="74">
        <f t="shared" si="267"/>
        <v>37.4577988480803</v>
      </c>
      <c r="L715" s="74">
        <f t="shared" si="255"/>
        <v>1.9319061275832015</v>
      </c>
      <c r="M715" s="74">
        <f t="shared" si="269"/>
        <v>3.409415373203253</v>
      </c>
      <c r="N715" s="74">
        <f t="shared" si="256"/>
        <v>0.2894370209242849</v>
      </c>
      <c r="O715" s="74">
        <f t="shared" si="257"/>
        <v>58.85048686544855</v>
      </c>
      <c r="P715" s="74">
        <f t="shared" si="258"/>
        <v>0.3100502738573799</v>
      </c>
    </row>
    <row r="716" spans="2:16" ht="13.5">
      <c r="B716" s="74">
        <f t="shared" si="248"/>
        <v>42.84372791360936</v>
      </c>
      <c r="C716" s="70">
        <f t="shared" si="265"/>
        <v>57.313</v>
      </c>
      <c r="D716" s="70">
        <f t="shared" si="249"/>
        <v>78</v>
      </c>
      <c r="E716" s="74">
        <f t="shared" si="251"/>
        <v>1.0003005541955101</v>
      </c>
      <c r="F716" s="74">
        <f t="shared" si="252"/>
        <v>1.361356816555577</v>
      </c>
      <c r="G716" s="74">
        <f t="shared" si="253"/>
        <v>97.13252835590282</v>
      </c>
      <c r="H716" s="74">
        <f t="shared" si="254"/>
        <v>24.40614891650218</v>
      </c>
      <c r="I716" s="74">
        <f t="shared" si="266"/>
        <v>32.17574952279962</v>
      </c>
      <c r="J716" s="74">
        <f t="shared" si="268"/>
        <v>24.40614891650218</v>
      </c>
      <c r="K716" s="74">
        <f t="shared" si="267"/>
        <v>36.370545849157565</v>
      </c>
      <c r="L716" s="74">
        <f t="shared" si="255"/>
        <v>1.9493594201031446</v>
      </c>
      <c r="M716" s="74">
        <f t="shared" si="269"/>
        <v>3.4325630767730444</v>
      </c>
      <c r="N716" s="74">
        <f t="shared" si="256"/>
        <v>0.23166750165393885</v>
      </c>
      <c r="O716" s="74">
        <f t="shared" si="257"/>
        <v>57.65192253890306</v>
      </c>
      <c r="P716" s="74">
        <f t="shared" si="258"/>
        <v>0.31942278673259866</v>
      </c>
    </row>
    <row r="717" spans="2:16" ht="13.5">
      <c r="B717" s="74">
        <f t="shared" si="248"/>
        <v>42.617654804485554</v>
      </c>
      <c r="C717" s="70">
        <f t="shared" si="265"/>
        <v>57.313</v>
      </c>
      <c r="D717" s="70">
        <f t="shared" si="249"/>
        <v>79</v>
      </c>
      <c r="E717" s="74">
        <f t="shared" si="251"/>
        <v>1.0003005541955101</v>
      </c>
      <c r="F717" s="74">
        <f t="shared" si="252"/>
        <v>1.3788101090755203</v>
      </c>
      <c r="G717" s="74">
        <f t="shared" si="253"/>
        <v>97.13252835590282</v>
      </c>
      <c r="H717" s="74">
        <f t="shared" si="254"/>
        <v>22.438680258289008</v>
      </c>
      <c r="I717" s="74">
        <f t="shared" si="266"/>
        <v>29.424319295722153</v>
      </c>
      <c r="J717" s="74">
        <f t="shared" si="268"/>
        <v>22.438680258289008</v>
      </c>
      <c r="K717" s="74">
        <f t="shared" si="267"/>
        <v>35.29133085505204</v>
      </c>
      <c r="L717" s="74">
        <f t="shared" si="255"/>
        <v>1.9668127126230877</v>
      </c>
      <c r="M717" s="74">
        <f t="shared" si="269"/>
        <v>3.4570875053272205</v>
      </c>
      <c r="N717" s="74">
        <f t="shared" si="256"/>
        <v>0.17309022039101127</v>
      </c>
      <c r="O717" s="74">
        <f t="shared" si="257"/>
        <v>56.46894636199775</v>
      </c>
      <c r="P717" s="74">
        <f t="shared" si="258"/>
        <v>0.3302241703042841</v>
      </c>
    </row>
    <row r="718" spans="2:16" ht="13.5">
      <c r="B718" s="74">
        <f t="shared" si="248"/>
        <v>42.36188212844465</v>
      </c>
      <c r="C718" s="70">
        <f t="shared" si="265"/>
        <v>57.313</v>
      </c>
      <c r="D718" s="70">
        <f t="shared" si="249"/>
        <v>80</v>
      </c>
      <c r="E718" s="74">
        <f t="shared" si="251"/>
        <v>1.0003005541955101</v>
      </c>
      <c r="F718" s="74">
        <f t="shared" si="252"/>
        <v>1.3962634015954636</v>
      </c>
      <c r="G718" s="74">
        <f t="shared" si="253"/>
        <v>97.13252835590282</v>
      </c>
      <c r="H718" s="74">
        <f t="shared" si="254"/>
        <v>20.442283082501756</v>
      </c>
      <c r="I718" s="74">
        <f t="shared" si="266"/>
        <v>26.691496704743898</v>
      </c>
      <c r="J718" s="74">
        <f t="shared" si="268"/>
        <v>20.442283082501756</v>
      </c>
      <c r="K718" s="74">
        <f t="shared" si="267"/>
        <v>34.21941447956511</v>
      </c>
      <c r="L718" s="74">
        <f t="shared" si="255"/>
        <v>1.9842660051430312</v>
      </c>
      <c r="M718" s="74">
        <f t="shared" si="269"/>
        <v>3.483033492591896</v>
      </c>
      <c r="N718" s="74">
        <f t="shared" si="256"/>
        <v>0.1136516527724497</v>
      </c>
      <c r="O718" s="74">
        <f t="shared" si="257"/>
        <v>55.299509720306425</v>
      </c>
      <c r="P718" s="74">
        <f t="shared" si="258"/>
        <v>0.3424860598973518</v>
      </c>
    </row>
    <row r="719" spans="2:16" ht="13.5">
      <c r="B719" s="74">
        <f t="shared" si="248"/>
        <v>42.0759025698858</v>
      </c>
      <c r="C719" s="70">
        <f t="shared" si="265"/>
        <v>57.313</v>
      </c>
      <c r="D719" s="70">
        <f t="shared" si="249"/>
        <v>81</v>
      </c>
      <c r="E719" s="74">
        <f t="shared" si="251"/>
        <v>1.0003005541955101</v>
      </c>
      <c r="F719" s="74">
        <f t="shared" si="252"/>
        <v>1.413716694115407</v>
      </c>
      <c r="G719" s="74">
        <f t="shared" si="253"/>
        <v>97.13252835590282</v>
      </c>
      <c r="H719" s="74">
        <f t="shared" si="254"/>
        <v>18.415070572518374</v>
      </c>
      <c r="I719" s="74">
        <f t="shared" si="266"/>
        <v>23.97544465412669</v>
      </c>
      <c r="J719" s="74">
        <f t="shared" si="268"/>
        <v>18.415070572518374</v>
      </c>
      <c r="K719" s="74">
        <f t="shared" si="267"/>
        <v>33.15407614426935</v>
      </c>
      <c r="L719" s="74">
        <f t="shared" si="255"/>
        <v>2.0017192976629743</v>
      </c>
      <c r="M719" s="74">
        <f t="shared" si="269"/>
        <v>3.510449285294637</v>
      </c>
      <c r="N719" s="74">
        <f t="shared" si="256"/>
        <v>0.053295622763378</v>
      </c>
      <c r="O719" s="74">
        <f t="shared" si="257"/>
        <v>54.14157012538945</v>
      </c>
      <c r="P719" s="74">
        <f t="shared" si="258"/>
        <v>0.35624415792745423</v>
      </c>
    </row>
    <row r="720" spans="2:16" ht="13.5">
      <c r="B720" s="74">
        <f t="shared" si="248"/>
        <v>43.569237471071375</v>
      </c>
      <c r="C720" s="70">
        <f t="shared" si="265"/>
        <v>57.313</v>
      </c>
      <c r="D720" s="70">
        <f>D689</f>
        <v>82</v>
      </c>
      <c r="E720" s="74">
        <f t="shared" si="251"/>
        <v>1.0003005541955101</v>
      </c>
      <c r="F720" s="74">
        <f t="shared" si="252"/>
        <v>1.43116998663535</v>
      </c>
      <c r="G720" s="74">
        <f t="shared" si="253"/>
        <v>97.13252835590282</v>
      </c>
      <c r="H720" s="74">
        <f t="shared" si="254"/>
        <v>21.274368853074545</v>
      </c>
      <c r="I720" s="74">
        <f t="shared" si="266"/>
        <v>21.274368853074545</v>
      </c>
      <c r="J720" s="74">
        <f t="shared" si="268"/>
        <v>16.355059041525283</v>
      </c>
      <c r="K720" s="74">
        <f t="shared" si="267"/>
        <v>32.09461206045451</v>
      </c>
      <c r="L720" s="74">
        <f t="shared" si="255"/>
        <v>2.0191725901829174</v>
      </c>
      <c r="M720" s="74">
        <f t="shared" si="269"/>
        <v>3.539386779747792</v>
      </c>
      <c r="N720" s="74">
        <f t="shared" si="256"/>
        <v>-0.008036929779261789</v>
      </c>
      <c r="O720" s="74">
        <f t="shared" si="257"/>
        <v>55.29015596761233</v>
      </c>
      <c r="P720" s="74">
        <f t="shared" si="258"/>
        <v>0.28501958440378866</v>
      </c>
    </row>
    <row r="721" spans="2:16" ht="13.5">
      <c r="B721" s="74">
        <f t="shared" si="248"/>
        <v>43.019183540633605</v>
      </c>
      <c r="C721" s="70">
        <f t="shared" si="265"/>
        <v>57.313</v>
      </c>
      <c r="D721" s="70">
        <f t="shared" si="249"/>
        <v>83</v>
      </c>
      <c r="E721" s="74">
        <f t="shared" si="251"/>
        <v>1.0003005541955101</v>
      </c>
      <c r="F721" s="74">
        <f t="shared" si="252"/>
        <v>1.4486232791552935</v>
      </c>
      <c r="G721" s="74">
        <f t="shared" si="253"/>
        <v>97.13252835590282</v>
      </c>
      <c r="H721" s="74">
        <f t="shared" si="254"/>
        <v>18.586512906677186</v>
      </c>
      <c r="I721" s="74">
        <f t="shared" si="266"/>
        <v>18.586512906677186</v>
      </c>
      <c r="J721" s="74">
        <f t="shared" si="268"/>
        <v>14.26015943222883</v>
      </c>
      <c r="K721" s="74">
        <f t="shared" si="267"/>
        <v>31.040333303609955</v>
      </c>
      <c r="L721" s="74">
        <f t="shared" si="255"/>
        <v>2.036625882702861</v>
      </c>
      <c r="M721" s="74">
        <f t="shared" si="269"/>
        <v>3.569901782381449</v>
      </c>
      <c r="N721" s="74">
        <f t="shared" si="256"/>
        <v>-0.0704082021850964</v>
      </c>
      <c r="O721" s="74">
        <f t="shared" si="257"/>
        <v>53.86585369599473</v>
      </c>
      <c r="P721" s="74">
        <f t="shared" si="258"/>
        <v>0.3110651169524988</v>
      </c>
    </row>
    <row r="722" spans="2:16" ht="13.5">
      <c r="B722" s="74">
        <f t="shared" si="248"/>
        <v>42.45050682549687</v>
      </c>
      <c r="C722" s="70">
        <f t="shared" si="265"/>
        <v>57.313</v>
      </c>
      <c r="D722" s="70">
        <f t="shared" si="249"/>
        <v>84</v>
      </c>
      <c r="E722" s="74">
        <f t="shared" si="251"/>
        <v>1.0003005541955101</v>
      </c>
      <c r="F722" s="74">
        <f t="shared" si="252"/>
        <v>1.4660765716752369</v>
      </c>
      <c r="G722" s="74">
        <f t="shared" si="253"/>
        <v>97.13252835590282</v>
      </c>
      <c r="H722" s="74">
        <f t="shared" si="254"/>
        <v>15.910153613341771</v>
      </c>
      <c r="I722" s="74">
        <f t="shared" si="266"/>
        <v>15.910153613341771</v>
      </c>
      <c r="J722" s="74">
        <f t="shared" si="268"/>
        <v>12.128168042573405</v>
      </c>
      <c r="K722" s="74">
        <f t="shared" si="267"/>
        <v>29.990563968899536</v>
      </c>
      <c r="L722" s="74">
        <f t="shared" si="255"/>
        <v>2.0540791752228045</v>
      </c>
      <c r="M722" s="74">
        <f t="shared" si="269"/>
        <v>3.602054296824678</v>
      </c>
      <c r="N722" s="74">
        <f t="shared" si="256"/>
        <v>-0.1338838050927462</v>
      </c>
      <c r="O722" s="74">
        <f t="shared" si="257"/>
        <v>52.47171211563294</v>
      </c>
      <c r="P722" s="74">
        <f t="shared" si="258"/>
        <v>0.338232550965479</v>
      </c>
    </row>
    <row r="723" spans="2:16" ht="13.5">
      <c r="B723" s="74">
        <f t="shared" si="248"/>
        <v>41.863149214303206</v>
      </c>
      <c r="C723" s="70">
        <f t="shared" si="265"/>
        <v>57.313</v>
      </c>
      <c r="D723" s="70">
        <f t="shared" si="249"/>
        <v>85</v>
      </c>
      <c r="E723" s="74">
        <f t="shared" si="251"/>
        <v>1.0003005541955101</v>
      </c>
      <c r="F723" s="74">
        <f t="shared" si="252"/>
        <v>1.4835298641951802</v>
      </c>
      <c r="G723" s="74">
        <f t="shared" si="253"/>
        <v>97.13252835590282</v>
      </c>
      <c r="H723" s="74">
        <f t="shared" si="254"/>
        <v>13.24359644123674</v>
      </c>
      <c r="I723" s="74">
        <f t="shared" si="266"/>
        <v>13.24359644123674</v>
      </c>
      <c r="J723" s="74">
        <f t="shared" si="268"/>
        <v>9.956756386451493</v>
      </c>
      <c r="K723" s="74">
        <f t="shared" si="267"/>
        <v>28.944639396851734</v>
      </c>
      <c r="L723" s="74">
        <f t="shared" si="255"/>
        <v>2.0715324677427476</v>
      </c>
      <c r="M723" s="74">
        <f t="shared" si="269"/>
        <v>3.6359088404790922</v>
      </c>
      <c r="N723" s="74">
        <f t="shared" si="256"/>
        <v>-0.1985330643260647</v>
      </c>
      <c r="O723" s="74">
        <f t="shared" si="257"/>
        <v>51.10546876635047</v>
      </c>
      <c r="P723" s="74">
        <f t="shared" si="258"/>
        <v>0.36650954163289434</v>
      </c>
    </row>
    <row r="724" spans="2:16" ht="13.5">
      <c r="B724" s="74">
        <f t="shared" si="248"/>
        <v>41.25700328464047</v>
      </c>
      <c r="C724" s="70">
        <f>C723</f>
        <v>57.313</v>
      </c>
      <c r="D724" s="70">
        <f t="shared" si="249"/>
        <v>86</v>
      </c>
      <c r="E724" s="74">
        <f t="shared" si="251"/>
        <v>1.0003005541955101</v>
      </c>
      <c r="F724" s="74">
        <f t="shared" si="252"/>
        <v>1.5009831567151233</v>
      </c>
      <c r="G724" s="74">
        <f t="shared" si="253"/>
        <v>97.13252835590282</v>
      </c>
      <c r="H724" s="74">
        <f t="shared" si="254"/>
        <v>10.585171157948913</v>
      </c>
      <c r="I724" s="74">
        <f t="shared" si="266"/>
        <v>10.585171157948913</v>
      </c>
      <c r="J724" s="74">
        <f t="shared" si="268"/>
        <v>7.743460086500027</v>
      </c>
      <c r="K724" s="74">
        <f t="shared" si="267"/>
        <v>27.90190445914594</v>
      </c>
      <c r="L724" s="74">
        <f t="shared" si="255"/>
        <v>2.0889857602626907</v>
      </c>
      <c r="M724" s="74">
        <f t="shared" si="269"/>
        <v>3.6715347939252476</v>
      </c>
      <c r="N724" s="74">
        <f t="shared" si="256"/>
        <v>-0.26442935158799213</v>
      </c>
      <c r="O724" s="74">
        <f t="shared" si="257"/>
        <v>49.76493786341792</v>
      </c>
      <c r="P724" s="74">
        <f t="shared" si="258"/>
        <v>0.39587718792260257</v>
      </c>
    </row>
    <row r="725" spans="2:16" ht="13.5">
      <c r="B725" s="74">
        <f t="shared" si="248"/>
        <v>40.631913005308455</v>
      </c>
      <c r="C725" s="70">
        <f>C724</f>
        <v>57.313</v>
      </c>
      <c r="D725" s="70">
        <f t="shared" si="249"/>
        <v>87</v>
      </c>
      <c r="E725" s="74">
        <f t="shared" si="251"/>
        <v>1.0003005541955101</v>
      </c>
      <c r="F725" s="74">
        <f t="shared" si="252"/>
        <v>1.5184364492350666</v>
      </c>
      <c r="G725" s="74">
        <f t="shared" si="253"/>
        <v>97.13252835590282</v>
      </c>
      <c r="H725" s="74">
        <f t="shared" si="254"/>
        <v>7.933227588970383</v>
      </c>
      <c r="I725" s="74">
        <f t="shared" si="266"/>
        <v>7.933227588970383</v>
      </c>
      <c r="J725" s="74">
        <f t="shared" si="268"/>
        <v>5.4856666823648865</v>
      </c>
      <c r="K725" s="74">
        <f t="shared" si="267"/>
        <v>26.861711894930572</v>
      </c>
      <c r="L725" s="74">
        <f t="shared" si="255"/>
        <v>2.106439052782634</v>
      </c>
      <c r="M725" s="74">
        <f t="shared" si="269"/>
        <v>3.7090067869585464</v>
      </c>
      <c r="N725" s="74">
        <f t="shared" si="256"/>
        <v>-0.3316504474440855</v>
      </c>
      <c r="O725" s="74">
        <f t="shared" si="257"/>
        <v>48.44800158523335</v>
      </c>
      <c r="P725" s="74">
        <f t="shared" si="258"/>
        <v>0.42630912974875773</v>
      </c>
    </row>
    <row r="726" spans="2:16" ht="13.5">
      <c r="B726" s="74">
        <f t="shared" si="248"/>
        <v>39.98767416633568</v>
      </c>
      <c r="C726" s="70">
        <f>C725</f>
        <v>57.313</v>
      </c>
      <c r="D726" s="70">
        <f t="shared" si="249"/>
        <v>88</v>
      </c>
      <c r="E726" s="74">
        <f t="shared" si="251"/>
        <v>1.0003005541955101</v>
      </c>
      <c r="F726" s="74">
        <f t="shared" si="252"/>
        <v>1.53588974175501</v>
      </c>
      <c r="G726" s="74">
        <f t="shared" si="253"/>
        <v>97.13252835590282</v>
      </c>
      <c r="H726" s="74">
        <f t="shared" si="254"/>
        <v>5.286131481813329</v>
      </c>
      <c r="I726" s="74">
        <f t="shared" si="266"/>
        <v>5.286131481813329</v>
      </c>
      <c r="J726" s="74">
        <f t="shared" si="268"/>
        <v>3.180602221976846</v>
      </c>
      <c r="K726" s="74">
        <f t="shared" si="267"/>
        <v>25.823420688572526</v>
      </c>
      <c r="L726" s="74">
        <f t="shared" si="255"/>
        <v>2.1238923453025773</v>
      </c>
      <c r="M726" s="74">
        <f t="shared" si="269"/>
        <v>3.7484051255774977</v>
      </c>
      <c r="N726" s="74">
        <f t="shared" si="256"/>
        <v>-0.4002789405393484</v>
      </c>
      <c r="O726" s="74">
        <f t="shared" si="257"/>
        <v>47.15260177762346</v>
      </c>
      <c r="P726" s="74">
        <f t="shared" si="258"/>
        <v>0.45777072181830336</v>
      </c>
    </row>
    <row r="727" spans="2:16" ht="13.5">
      <c r="B727" s="74">
        <f t="shared" si="248"/>
        <v>39.324034544947544</v>
      </c>
      <c r="C727" s="70">
        <f>C726</f>
        <v>57.313</v>
      </c>
      <c r="D727" s="70">
        <f t="shared" si="249"/>
        <v>89</v>
      </c>
      <c r="E727" s="74">
        <f t="shared" si="251"/>
        <v>1.0003005541955101</v>
      </c>
      <c r="F727" s="74">
        <f t="shared" si="252"/>
        <v>1.5533430342749535</v>
      </c>
      <c r="G727" s="74">
        <f t="shared" si="253"/>
        <v>97.13252835590282</v>
      </c>
      <c r="H727" s="74">
        <f t="shared" si="254"/>
        <v>2.642260453508916</v>
      </c>
      <c r="I727" s="74">
        <f t="shared" si="266"/>
        <v>2.642260453508916</v>
      </c>
      <c r="J727" s="74">
        <f t="shared" si="268"/>
        <v>0.8253164850416557</v>
      </c>
      <c r="K727" s="74">
        <f t="shared" si="267"/>
        <v>24.78639448011291</v>
      </c>
      <c r="L727" s="74">
        <f t="shared" si="255"/>
        <v>2.141345637822521</v>
      </c>
      <c r="M727" s="74">
        <f t="shared" si="269"/>
        <v>3.7898162648555984</v>
      </c>
      <c r="N727" s="74">
        <f t="shared" si="256"/>
        <v>-0.47040266753803595</v>
      </c>
      <c r="O727" s="74">
        <f t="shared" si="257"/>
        <v>45.87673201338516</v>
      </c>
      <c r="P727" s="74">
        <f t="shared" si="258"/>
        <v>0.49021832698387263</v>
      </c>
    </row>
    <row r="728" spans="2:16" ht="13.5">
      <c r="B728" s="74">
        <f aca="true" t="shared" si="270" ref="B728:B738">O728*SIN(F728-F$4)</f>
        <v>38.64069381316977</v>
      </c>
      <c r="C728" s="70">
        <f>C727</f>
        <v>57.313</v>
      </c>
      <c r="D728" s="70">
        <f t="shared" si="249"/>
        <v>90</v>
      </c>
      <c r="E728" s="74">
        <f t="shared" si="251"/>
        <v>1.0003005541955101</v>
      </c>
      <c r="F728" s="74">
        <f t="shared" si="252"/>
        <v>1.5707963267948966</v>
      </c>
      <c r="G728" s="74">
        <f t="shared" si="253"/>
        <v>97.13252835590282</v>
      </c>
      <c r="H728" s="74">
        <f t="shared" si="254"/>
        <v>9.272842368089618E-15</v>
      </c>
      <c r="I728" s="74">
        <f t="shared" si="266"/>
        <v>9.272842368089618E-15</v>
      </c>
      <c r="J728" s="74">
        <f t="shared" si="268"/>
        <v>-1.5833333333333073</v>
      </c>
      <c r="K728" s="74">
        <f t="shared" si="267"/>
        <v>23.750000000000007</v>
      </c>
      <c r="L728" s="74">
        <f t="shared" si="255"/>
        <v>2.158798930342464</v>
      </c>
      <c r="M728" s="74">
        <f t="shared" si="269"/>
        <v>3.8333333333333317</v>
      </c>
      <c r="N728" s="74">
        <f t="shared" si="256"/>
        <v>-0.5421151989096857</v>
      </c>
      <c r="O728" s="74">
        <f t="shared" si="257"/>
        <v>44.618429949414946</v>
      </c>
      <c r="P728" s="74">
        <f t="shared" si="258"/>
        <v>0.5235987755982986</v>
      </c>
    </row>
    <row r="729" spans="2:16" ht="13.5">
      <c r="B729" s="74">
        <f t="shared" si="270"/>
        <v>41.88043704103778</v>
      </c>
      <c r="C729" s="70">
        <f>C728+J600</f>
        <v>57.697</v>
      </c>
      <c r="D729" s="70">
        <f t="shared" si="249"/>
        <v>60</v>
      </c>
      <c r="E729" s="74">
        <f t="shared" si="251"/>
        <v>1.0070026185231682</v>
      </c>
      <c r="F729" s="74">
        <f t="shared" si="252"/>
        <v>1.0471975511965976</v>
      </c>
      <c r="G729" s="74">
        <f t="shared" si="253"/>
        <v>95.70639648921689</v>
      </c>
      <c r="H729" s="74">
        <f t="shared" si="254"/>
        <v>56.61327536344993</v>
      </c>
      <c r="I729" s="74">
        <f t="shared" si="266"/>
        <v>87.39639699857963</v>
      </c>
      <c r="J729" s="74">
        <f t="shared" si="268"/>
        <v>56.61327536344993</v>
      </c>
      <c r="K729" s="74">
        <f t="shared" si="267"/>
        <v>58.03017223313404</v>
      </c>
      <c r="L729" s="74">
        <f t="shared" si="255"/>
        <v>1.6352001547441652</v>
      </c>
      <c r="M729" s="74">
        <f t="shared" si="269"/>
        <v>3.196152422706631</v>
      </c>
      <c r="N729" s="74">
        <f t="shared" si="256"/>
        <v>1.1905676074715958</v>
      </c>
      <c r="O729" s="74">
        <f t="shared" si="257"/>
        <v>83.76087408207557</v>
      </c>
      <c r="P729" s="74">
        <f t="shared" si="258"/>
        <v>0.36338074326408837</v>
      </c>
    </row>
    <row r="730" spans="2:16" ht="13.5">
      <c r="B730" s="74">
        <f t="shared" si="270"/>
        <v>42.20051510093602</v>
      </c>
      <c r="C730" s="70">
        <f>C729</f>
        <v>57.697</v>
      </c>
      <c r="D730" s="70">
        <f t="shared" si="249"/>
        <v>61</v>
      </c>
      <c r="E730" s="74">
        <f t="shared" si="251"/>
        <v>1.0070026185231682</v>
      </c>
      <c r="F730" s="74">
        <f t="shared" si="252"/>
        <v>1.064650843716541</v>
      </c>
      <c r="G730" s="74">
        <f t="shared" si="253"/>
        <v>95.70639648921689</v>
      </c>
      <c r="H730" s="74">
        <f t="shared" si="254"/>
        <v>54.91741842603781</v>
      </c>
      <c r="I730" s="74">
        <f t="shared" si="266"/>
        <v>83.90853266366291</v>
      </c>
      <c r="J730" s="74">
        <f t="shared" si="268"/>
        <v>54.91741842603781</v>
      </c>
      <c r="K730" s="74">
        <f t="shared" si="267"/>
        <v>56.662099930008154</v>
      </c>
      <c r="L730" s="74">
        <f t="shared" si="255"/>
        <v>1.6526534472641083</v>
      </c>
      <c r="M730" s="74">
        <f t="shared" si="269"/>
        <v>3.200241894286732</v>
      </c>
      <c r="N730" s="74">
        <f t="shared" si="256"/>
        <v>1.1400769994561701</v>
      </c>
      <c r="O730" s="74">
        <f t="shared" si="257"/>
        <v>81.93669003656844</v>
      </c>
      <c r="P730" s="74">
        <f t="shared" si="258"/>
        <v>0.3481511823279592</v>
      </c>
    </row>
    <row r="731" spans="2:16" ht="13.5">
      <c r="B731" s="74">
        <f t="shared" si="270"/>
        <v>42.48516695448481</v>
      </c>
      <c r="C731" s="70">
        <f aca="true" t="shared" si="271" ref="C731:C759">C730</f>
        <v>57.697</v>
      </c>
      <c r="D731" s="70">
        <f t="shared" si="249"/>
        <v>62</v>
      </c>
      <c r="E731" s="74">
        <f t="shared" si="251"/>
        <v>1.0070026185231682</v>
      </c>
      <c r="F731" s="74">
        <f t="shared" si="252"/>
        <v>1.0821041362364843</v>
      </c>
      <c r="G731" s="74">
        <f t="shared" si="253"/>
        <v>95.70639648921689</v>
      </c>
      <c r="H731" s="74">
        <f t="shared" si="254"/>
        <v>53.21669751699319</v>
      </c>
      <c r="I731" s="74">
        <f t="shared" si="266"/>
        <v>80.48751521775635</v>
      </c>
      <c r="J731" s="74">
        <f t="shared" si="268"/>
        <v>53.21669751699319</v>
      </c>
      <c r="K731" s="74">
        <f t="shared" si="267"/>
        <v>55.3202475049003</v>
      </c>
      <c r="L731" s="74">
        <f t="shared" si="255"/>
        <v>1.6701067397840519</v>
      </c>
      <c r="M731" s="74">
        <f t="shared" si="269"/>
        <v>3.205319466443784</v>
      </c>
      <c r="N731" s="74">
        <f t="shared" si="256"/>
        <v>1.0894415768165406</v>
      </c>
      <c r="O731" s="74">
        <f t="shared" si="257"/>
        <v>80.17290523672696</v>
      </c>
      <c r="P731" s="74">
        <f t="shared" si="258"/>
        <v>0.3346598330155735</v>
      </c>
    </row>
    <row r="732" spans="2:16" ht="13.5">
      <c r="B732" s="74">
        <f t="shared" si="270"/>
        <v>42.73551702850927</v>
      </c>
      <c r="C732" s="70">
        <f t="shared" si="271"/>
        <v>57.697</v>
      </c>
      <c r="D732" s="70">
        <f>D701</f>
        <v>63</v>
      </c>
      <c r="E732" s="74">
        <f t="shared" si="251"/>
        <v>1.0070026185231682</v>
      </c>
      <c r="F732" s="74">
        <f t="shared" si="252"/>
        <v>1.0995574287564276</v>
      </c>
      <c r="G732" s="74">
        <f t="shared" si="253"/>
        <v>95.70639648921689</v>
      </c>
      <c r="H732" s="74">
        <f t="shared" si="254"/>
        <v>51.51005054407396</v>
      </c>
      <c r="I732" s="74">
        <f t="shared" si="266"/>
        <v>77.12941491721917</v>
      </c>
      <c r="J732" s="74">
        <f t="shared" si="268"/>
        <v>51.51005054407396</v>
      </c>
      <c r="K732" s="74">
        <f t="shared" si="267"/>
        <v>54.00307356373172</v>
      </c>
      <c r="L732" s="74">
        <f t="shared" si="255"/>
        <v>1.687560032303995</v>
      </c>
      <c r="M732" s="74">
        <f t="shared" si="269"/>
        <v>3.2113929525108333</v>
      </c>
      <c r="N732" s="74">
        <f t="shared" si="256"/>
        <v>1.0386297179684278</v>
      </c>
      <c r="O732" s="74">
        <f t="shared" si="257"/>
        <v>78.46576224072915</v>
      </c>
      <c r="P732" s="74">
        <f t="shared" si="258"/>
        <v>0.32283900139445226</v>
      </c>
    </row>
    <row r="733" spans="2:16" ht="13.5">
      <c r="B733" s="74">
        <f t="shared" si="270"/>
        <v>42.95256829317793</v>
      </c>
      <c r="C733" s="70">
        <f t="shared" si="271"/>
        <v>57.697</v>
      </c>
      <c r="D733" s="70">
        <f>D702</f>
        <v>64</v>
      </c>
      <c r="E733" s="74">
        <f t="shared" si="251"/>
        <v>1.0070026185231682</v>
      </c>
      <c r="F733" s="74">
        <f t="shared" si="252"/>
        <v>1.117010721276371</v>
      </c>
      <c r="G733" s="74">
        <f t="shared" si="253"/>
        <v>95.70639648921689</v>
      </c>
      <c r="H733" s="74">
        <f t="shared" si="254"/>
        <v>49.7964007486329</v>
      </c>
      <c r="I733" s="74">
        <f t="shared" si="266"/>
        <v>73.83052059415728</v>
      </c>
      <c r="J733" s="74">
        <f t="shared" si="268"/>
        <v>49.7964007486329</v>
      </c>
      <c r="K733" s="74">
        <f t="shared" si="267"/>
        <v>52.70912244609802</v>
      </c>
      <c r="L733" s="74">
        <f t="shared" si="255"/>
        <v>1.7050133248239385</v>
      </c>
      <c r="M733" s="74">
        <f t="shared" si="269"/>
        <v>3.21847173736185</v>
      </c>
      <c r="N733" s="74">
        <f t="shared" si="256"/>
        <v>0.9876093646658881</v>
      </c>
      <c r="O733" s="74">
        <f t="shared" si="257"/>
        <v>76.81171922351642</v>
      </c>
      <c r="P733" s="74">
        <f t="shared" si="258"/>
        <v>0.31262682895317895</v>
      </c>
    </row>
    <row r="734" spans="2:16" ht="13.5">
      <c r="B734" s="74">
        <f t="shared" si="270"/>
        <v>43.13720957746965</v>
      </c>
      <c r="C734" s="70">
        <f t="shared" si="271"/>
        <v>57.697</v>
      </c>
      <c r="D734" s="70">
        <f>D703</f>
        <v>65</v>
      </c>
      <c r="E734" s="74">
        <f aca="true" t="shared" si="272" ref="E734:E790">C734*PI()/180</f>
        <v>1.0070026185231682</v>
      </c>
      <c r="F734" s="74">
        <f aca="true" t="shared" si="273" ref="F734:F790">D734*PI()/180</f>
        <v>1.1344640137963142</v>
      </c>
      <c r="G734" s="74">
        <f aca="true" t="shared" si="274" ref="G734:G790">(0.5*$D$3*$D$9+$D$5)*$D$9/TAN(E734)</f>
        <v>95.70639648921689</v>
      </c>
      <c r="H734" s="74">
        <f aca="true" t="shared" si="275" ref="H734:H790">IF(D734&gt;$F$17,I734,IF(D734&lt;$F$16,K734,J734))</f>
        <v>48.07465394252364</v>
      </c>
      <c r="I734" s="74">
        <f t="shared" si="266"/>
        <v>70.58732175321292</v>
      </c>
      <c r="J734" s="74">
        <f t="shared" si="268"/>
        <v>48.07465394252364</v>
      </c>
      <c r="K734" s="74">
        <f t="shared" si="267"/>
        <v>51.43701720295304</v>
      </c>
      <c r="L734" s="74">
        <f aca="true" t="shared" si="276" ref="L734:L790">F734+D$14</f>
        <v>1.7224666173438816</v>
      </c>
      <c r="M734" s="74">
        <f t="shared" si="269"/>
        <v>3.2265668130425462</v>
      </c>
      <c r="N734" s="74">
        <f aca="true" t="shared" si="277" ref="N734:N790">M734*SIN(D$17-F734)</f>
        <v>0.9363479397359457</v>
      </c>
      <c r="O734" s="74">
        <f aca="true" t="shared" si="278" ref="O734:O790">SIN(E734-F$4)/SIN(E734+F734-2*F$4)*(G734+H734)</f>
        <v>75.2074298098752</v>
      </c>
      <c r="P734" s="74">
        <f aca="true" t="shared" si="279" ref="P734:P790">ATAN((O734*COS(F734-F$4)-H734)/(O734*SIN(F734-F$4)))</f>
        <v>0.30396767198437735</v>
      </c>
    </row>
    <row r="735" spans="2:16" ht="13.5">
      <c r="B735" s="74">
        <f t="shared" si="270"/>
        <v>43.29022196677235</v>
      </c>
      <c r="C735" s="70">
        <f t="shared" si="271"/>
        <v>57.697</v>
      </c>
      <c r="D735" s="70">
        <f>D704</f>
        <v>66</v>
      </c>
      <c r="E735" s="74">
        <f t="shared" si="272"/>
        <v>1.0070026185231682</v>
      </c>
      <c r="F735" s="74">
        <f t="shared" si="273"/>
        <v>1.1519173063162575</v>
      </c>
      <c r="G735" s="74">
        <f t="shared" si="274"/>
        <v>95.70639648921689</v>
      </c>
      <c r="H735" s="74">
        <f t="shared" si="275"/>
        <v>46.34369565210348</v>
      </c>
      <c r="I735" s="74">
        <f t="shared" si="266"/>
        <v>67.39649223857965</v>
      </c>
      <c r="J735" s="74">
        <f t="shared" si="268"/>
        <v>46.34369565210348</v>
      </c>
      <c r="K735" s="74">
        <f t="shared" si="267"/>
        <v>50.18545319019432</v>
      </c>
      <c r="L735" s="74">
        <f t="shared" si="276"/>
        <v>1.7399199098638252</v>
      </c>
      <c r="M735" s="74">
        <f t="shared" si="269"/>
        <v>3.235690820800044</v>
      </c>
      <c r="N735" s="74">
        <f t="shared" si="277"/>
        <v>0.8848122620472225</v>
      </c>
      <c r="O735" s="74">
        <f t="shared" si="278"/>
        <v>73.64972461954825</v>
      </c>
      <c r="P735" s="74">
        <f t="shared" si="279"/>
        <v>0.296812316950399</v>
      </c>
    </row>
    <row r="736" spans="2:16" ht="13.5">
      <c r="B736" s="74">
        <f t="shared" si="270"/>
        <v>43.41228436460437</v>
      </c>
      <c r="C736" s="70">
        <f t="shared" si="271"/>
        <v>57.697</v>
      </c>
      <c r="D736" s="70">
        <f>D705</f>
        <v>67</v>
      </c>
      <c r="E736" s="74">
        <f t="shared" si="272"/>
        <v>1.0070026185231682</v>
      </c>
      <c r="F736" s="74">
        <f t="shared" si="273"/>
        <v>1.1693705988362006</v>
      </c>
      <c r="G736" s="74">
        <f t="shared" si="274"/>
        <v>95.70639648921689</v>
      </c>
      <c r="H736" s="74">
        <f t="shared" si="275"/>
        <v>44.602388153158174</v>
      </c>
      <c r="I736" s="74">
        <f t="shared" si="266"/>
        <v>64.25487530372895</v>
      </c>
      <c r="J736" s="74">
        <f t="shared" si="268"/>
        <v>44.602388153158174</v>
      </c>
      <c r="K736" s="74">
        <f t="shared" si="267"/>
        <v>48.95319221244529</v>
      </c>
      <c r="L736" s="74">
        <f t="shared" si="276"/>
        <v>1.7573732023837683</v>
      </c>
      <c r="M736" s="74">
        <f t="shared" si="269"/>
        <v>3.2458580998131934</v>
      </c>
      <c r="N736" s="74">
        <f t="shared" si="277"/>
        <v>0.8329684582310031</v>
      </c>
      <c r="O736" s="74">
        <f t="shared" si="278"/>
        <v>72.1355943180506</v>
      </c>
      <c r="P736" s="74">
        <f t="shared" si="279"/>
        <v>0.29111807646609245</v>
      </c>
    </row>
    <row r="737" spans="2:16" ht="13.5">
      <c r="B737" s="74">
        <f t="shared" si="270"/>
        <v>43.50397828843707</v>
      </c>
      <c r="C737" s="70">
        <f t="shared" si="271"/>
        <v>57.697</v>
      </c>
      <c r="D737" s="70">
        <f aca="true" t="shared" si="280" ref="D737:D790">D706</f>
        <v>68</v>
      </c>
      <c r="E737" s="74">
        <f t="shared" si="272"/>
        <v>1.0070026185231682</v>
      </c>
      <c r="F737" s="74">
        <f t="shared" si="273"/>
        <v>1.1868238913561442</v>
      </c>
      <c r="G737" s="74">
        <f t="shared" si="274"/>
        <v>95.70639648921689</v>
      </c>
      <c r="H737" s="74">
        <f t="shared" si="275"/>
        <v>42.84956737955771</v>
      </c>
      <c r="I737" s="74">
        <f t="shared" si="266"/>
        <v>61.15946993579685</v>
      </c>
      <c r="J737" s="74">
        <f t="shared" si="268"/>
        <v>42.84956737955771</v>
      </c>
      <c r="K737" s="74">
        <f t="shared" si="267"/>
        <v>47.739057158962424</v>
      </c>
      <c r="L737" s="74">
        <f t="shared" si="276"/>
        <v>1.7748264949037118</v>
      </c>
      <c r="M737" s="74">
        <f t="shared" si="269"/>
        <v>3.2570847429771757</v>
      </c>
      <c r="N737" s="74">
        <f t="shared" si="277"/>
        <v>0.7807818706428962</v>
      </c>
      <c r="O737" s="74">
        <f t="shared" si="278"/>
        <v>70.66217399005734</v>
      </c>
      <c r="P737" s="74">
        <f t="shared" si="279"/>
        <v>0.2868488009609261</v>
      </c>
    </row>
    <row r="738" spans="2:16" ht="13.5">
      <c r="B738" s="74">
        <f t="shared" si="270"/>
        <v>43.56579195898973</v>
      </c>
      <c r="C738" s="70">
        <f t="shared" si="271"/>
        <v>57.697</v>
      </c>
      <c r="D738" s="70">
        <f t="shared" si="280"/>
        <v>69</v>
      </c>
      <c r="E738" s="74">
        <f t="shared" si="272"/>
        <v>1.0070026185231682</v>
      </c>
      <c r="F738" s="74">
        <f t="shared" si="273"/>
        <v>1.2042771838760873</v>
      </c>
      <c r="G738" s="74">
        <f t="shared" si="274"/>
        <v>95.70639648921689</v>
      </c>
      <c r="H738" s="74">
        <f t="shared" si="275"/>
        <v>41.08403968726031</v>
      </c>
      <c r="I738" s="74">
        <f t="shared" si="266"/>
        <v>58.107418303486085</v>
      </c>
      <c r="J738" s="74">
        <f t="shared" si="268"/>
        <v>41.08403968726031</v>
      </c>
      <c r="K738" s="74">
        <f t="shared" si="267"/>
        <v>46.54192708022782</v>
      </c>
      <c r="L738" s="74">
        <f t="shared" si="276"/>
        <v>1.792279787423655</v>
      </c>
      <c r="M738" s="74">
        <f t="shared" si="269"/>
        <v>3.2693886601519666</v>
      </c>
      <c r="N738" s="74">
        <f t="shared" si="277"/>
        <v>0.7282169610177962</v>
      </c>
      <c r="O738" s="74">
        <f t="shared" si="278"/>
        <v>69.22672867204084</v>
      </c>
      <c r="P738" s="74">
        <f t="shared" si="279"/>
        <v>0.28397483288427905</v>
      </c>
    </row>
    <row r="739" spans="2:16" ht="13.5">
      <c r="B739" s="74">
        <f aca="true" t="shared" si="281" ref="B739:B790">O739*SIN(F739-F$4)</f>
        <v>43.59812373293138</v>
      </c>
      <c r="C739" s="70">
        <f t="shared" si="271"/>
        <v>57.697</v>
      </c>
      <c r="D739" s="70">
        <f t="shared" si="280"/>
        <v>70</v>
      </c>
      <c r="E739" s="74">
        <f t="shared" si="272"/>
        <v>1.0070026185231682</v>
      </c>
      <c r="F739" s="74">
        <f t="shared" si="273"/>
        <v>1.2217304763960306</v>
      </c>
      <c r="G739" s="74">
        <f t="shared" si="274"/>
        <v>95.70639648921689</v>
      </c>
      <c r="H739" s="74">
        <f t="shared" si="275"/>
        <v>39.30457845389725</v>
      </c>
      <c r="I739" s="74">
        <f t="shared" si="266"/>
        <v>55.09599421204639</v>
      </c>
      <c r="J739" s="74">
        <f t="shared" si="268"/>
        <v>39.30457845389725</v>
      </c>
      <c r="K739" s="74">
        <f t="shared" si="267"/>
        <v>45.360732659555765</v>
      </c>
      <c r="L739" s="74">
        <f t="shared" si="276"/>
        <v>1.809733079943598</v>
      </c>
      <c r="M739" s="74">
        <f t="shared" si="269"/>
        <v>3.2827896493451227</v>
      </c>
      <c r="N739" s="74">
        <f t="shared" si="277"/>
        <v>0.6752372092296027</v>
      </c>
      <c r="O739" s="74">
        <f t="shared" si="278"/>
        <v>67.82663989772978</v>
      </c>
      <c r="P739" s="74">
        <f t="shared" si="279"/>
        <v>0.2824729234085369</v>
      </c>
    </row>
    <row r="740" spans="2:16" ht="13.5">
      <c r="B740" s="74">
        <f t="shared" si="281"/>
        <v>43.60128492045078</v>
      </c>
      <c r="C740" s="70">
        <f t="shared" si="271"/>
        <v>57.697</v>
      </c>
      <c r="D740" s="70">
        <f t="shared" si="280"/>
        <v>71</v>
      </c>
      <c r="E740" s="74">
        <f t="shared" si="272"/>
        <v>1.0070026185231682</v>
      </c>
      <c r="F740" s="74">
        <f t="shared" si="273"/>
        <v>1.239183768915974</v>
      </c>
      <c r="G740" s="74">
        <f t="shared" si="274"/>
        <v>95.70639648921689</v>
      </c>
      <c r="H740" s="74">
        <f t="shared" si="275"/>
        <v>37.50992049257642</v>
      </c>
      <c r="I740" s="74">
        <f t="shared" si="266"/>
        <v>52.12259246172309</v>
      </c>
      <c r="J740" s="74">
        <f t="shared" si="268"/>
        <v>37.50992049257642</v>
      </c>
      <c r="K740" s="74">
        <f t="shared" si="267"/>
        <v>44.19445203907388</v>
      </c>
      <c r="L740" s="74">
        <f t="shared" si="276"/>
        <v>1.8271863724635415</v>
      </c>
      <c r="M740" s="74">
        <f t="shared" si="269"/>
        <v>3.297309476365921</v>
      </c>
      <c r="N740" s="74">
        <f t="shared" si="277"/>
        <v>0.6218050065196917</v>
      </c>
      <c r="O740" s="74">
        <f t="shared" si="278"/>
        <v>66.45939312433677</v>
      </c>
      <c r="P740" s="74">
        <f t="shared" si="279"/>
        <v>0.2823261257980432</v>
      </c>
    </row>
    <row r="741" spans="2:16" ht="13.5">
      <c r="B741" s="74">
        <f t="shared" si="281"/>
        <v>43.57550202147234</v>
      </c>
      <c r="C741" s="70">
        <f t="shared" si="271"/>
        <v>57.697</v>
      </c>
      <c r="D741" s="70">
        <f t="shared" si="280"/>
        <v>72</v>
      </c>
      <c r="E741" s="74">
        <f t="shared" si="272"/>
        <v>1.0070026185231682</v>
      </c>
      <c r="F741" s="74">
        <f t="shared" si="273"/>
        <v>1.2566370614359172</v>
      </c>
      <c r="G741" s="74">
        <f t="shared" si="274"/>
        <v>95.70639648921689</v>
      </c>
      <c r="H741" s="74">
        <f t="shared" si="275"/>
        <v>35.698762256707205</v>
      </c>
      <c r="I741" s="74">
        <f t="shared" si="266"/>
        <v>49.18471901725621</v>
      </c>
      <c r="J741" s="74">
        <f t="shared" si="268"/>
        <v>35.698762256707205</v>
      </c>
      <c r="K741" s="74">
        <f t="shared" si="267"/>
        <v>43.042106963828815</v>
      </c>
      <c r="L741" s="74">
        <f t="shared" si="276"/>
        <v>1.8446396649834846</v>
      </c>
      <c r="M741" s="74">
        <f t="shared" si="269"/>
        <v>3.3129719635610875</v>
      </c>
      <c r="N741" s="74">
        <f t="shared" si="277"/>
        <v>0.5678815425034818</v>
      </c>
      <c r="O741" s="74">
        <f t="shared" si="278"/>
        <v>65.12256591966826</v>
      </c>
      <c r="P741" s="74">
        <f t="shared" si="279"/>
        <v>0.28352367474567886</v>
      </c>
    </row>
    <row r="742" spans="2:16" ht="13.5">
      <c r="B742" s="74">
        <f t="shared" si="281"/>
        <v>43.520918407245674</v>
      </c>
      <c r="C742" s="70">
        <f t="shared" si="271"/>
        <v>57.697</v>
      </c>
      <c r="D742" s="70">
        <f t="shared" si="280"/>
        <v>73</v>
      </c>
      <c r="E742" s="74">
        <f t="shared" si="272"/>
        <v>1.0070026185231682</v>
      </c>
      <c r="F742" s="74">
        <f t="shared" si="273"/>
        <v>1.2740903539558606</v>
      </c>
      <c r="G742" s="74">
        <f t="shared" si="274"/>
        <v>95.70639648921689</v>
      </c>
      <c r="H742" s="74">
        <f t="shared" si="275"/>
        <v>33.86975581055276</v>
      </c>
      <c r="I742" s="74">
        <f t="shared" si="266"/>
        <v>46.27998190580472</v>
      </c>
      <c r="J742" s="74">
        <f t="shared" si="268"/>
        <v>33.86975581055276</v>
      </c>
      <c r="K742" s="74">
        <f t="shared" si="267"/>
        <v>41.90275921160796</v>
      </c>
      <c r="L742" s="74">
        <f t="shared" si="276"/>
        <v>1.8620929575034282</v>
      </c>
      <c r="M742" s="74">
        <f t="shared" si="269"/>
        <v>3.3298030883232532</v>
      </c>
      <c r="N742" s="74">
        <f t="shared" si="277"/>
        <v>0.5134266852020202</v>
      </c>
      <c r="O742" s="74">
        <f t="shared" si="278"/>
        <v>63.81381680046475</v>
      </c>
      <c r="P742" s="74">
        <f t="shared" si="279"/>
        <v>0.28606085682312354</v>
      </c>
    </row>
    <row r="743" spans="2:16" ht="13.5">
      <c r="B743" s="74">
        <f t="shared" si="281"/>
        <v>43.4375954674836</v>
      </c>
      <c r="C743" s="70">
        <f t="shared" si="271"/>
        <v>57.697</v>
      </c>
      <c r="D743" s="70">
        <f t="shared" si="280"/>
        <v>74</v>
      </c>
      <c r="E743" s="74">
        <f t="shared" si="272"/>
        <v>1.0070026185231682</v>
      </c>
      <c r="F743" s="74">
        <f t="shared" si="273"/>
        <v>1.2915436464758039</v>
      </c>
      <c r="G743" s="74">
        <f t="shared" si="274"/>
        <v>95.70639648921689</v>
      </c>
      <c r="H743" s="74">
        <f t="shared" si="275"/>
        <v>32.02150453781869</v>
      </c>
      <c r="I743" s="74">
        <f t="shared" si="266"/>
        <v>43.40608276923955</v>
      </c>
      <c r="J743" s="74">
        <f t="shared" si="268"/>
        <v>32.02150453781869</v>
      </c>
      <c r="K743" s="74">
        <f t="shared" si="267"/>
        <v>40.77550727942922</v>
      </c>
      <c r="L743" s="74">
        <f t="shared" si="276"/>
        <v>1.8795462500233713</v>
      </c>
      <c r="M743" s="74">
        <f t="shared" si="269"/>
        <v>3.347831092152982</v>
      </c>
      <c r="N743" s="74">
        <f t="shared" si="277"/>
        <v>0.4583988532741495</v>
      </c>
      <c r="O743" s="74">
        <f t="shared" si="278"/>
        <v>62.53087462083281</v>
      </c>
      <c r="P743" s="74">
        <f t="shared" si="279"/>
        <v>0.28993887354350056</v>
      </c>
    </row>
    <row r="744" spans="2:16" ht="13.5">
      <c r="B744" s="74">
        <f t="shared" si="281"/>
        <v>43.32551323704383</v>
      </c>
      <c r="C744" s="70">
        <f t="shared" si="271"/>
        <v>57.697</v>
      </c>
      <c r="D744" s="70">
        <f t="shared" si="280"/>
        <v>75</v>
      </c>
      <c r="E744" s="74">
        <f t="shared" si="272"/>
        <v>1.0070026185231682</v>
      </c>
      <c r="F744" s="74">
        <f t="shared" si="273"/>
        <v>1.3089969389957472</v>
      </c>
      <c r="G744" s="74">
        <f t="shared" si="274"/>
        <v>95.70639648921689</v>
      </c>
      <c r="H744" s="74">
        <f t="shared" si="275"/>
        <v>30.152558557855457</v>
      </c>
      <c r="I744" s="74">
        <f t="shared" si="266"/>
        <v>40.560809004261195</v>
      </c>
      <c r="J744" s="74">
        <f t="shared" si="268"/>
        <v>30.152558557855457</v>
      </c>
      <c r="K744" s="74">
        <f t="shared" si="267"/>
        <v>39.65948330059791</v>
      </c>
      <c r="L744" s="74">
        <f t="shared" si="276"/>
        <v>1.8969995425433148</v>
      </c>
      <c r="M744" s="74">
        <f t="shared" si="269"/>
        <v>3.3670866011551928</v>
      </c>
      <c r="N744" s="74">
        <f t="shared" si="277"/>
        <v>0.4027548795434824</v>
      </c>
      <c r="O744" s="74">
        <f t="shared" si="278"/>
        <v>61.271528416602436</v>
      </c>
      <c r="P744" s="74">
        <f t="shared" si="279"/>
        <v>0.2951646952091002</v>
      </c>
    </row>
    <row r="745" spans="2:16" ht="13.5">
      <c r="B745" s="74">
        <f t="shared" si="281"/>
        <v>43.18457051022978</v>
      </c>
      <c r="C745" s="70">
        <f t="shared" si="271"/>
        <v>57.697</v>
      </c>
      <c r="D745" s="70">
        <f t="shared" si="280"/>
        <v>76</v>
      </c>
      <c r="E745" s="74">
        <f t="shared" si="272"/>
        <v>1.0070026185231682</v>
      </c>
      <c r="F745" s="74">
        <f t="shared" si="273"/>
        <v>1.3264502315156903</v>
      </c>
      <c r="G745" s="74">
        <f t="shared" si="274"/>
        <v>95.70639648921689</v>
      </c>
      <c r="H745" s="74">
        <f t="shared" si="275"/>
        <v>28.2614098159386</v>
      </c>
      <c r="I745" s="74">
        <f t="shared" si="266"/>
        <v>37.7420264303865</v>
      </c>
      <c r="J745" s="74">
        <f t="shared" si="268"/>
        <v>28.2614098159386</v>
      </c>
      <c r="K745" s="74">
        <f t="shared" si="267"/>
        <v>38.55385016881386</v>
      </c>
      <c r="L745" s="74">
        <f t="shared" si="276"/>
        <v>1.914452835063258</v>
      </c>
      <c r="M745" s="74">
        <f>J$18/SIN(L745)*SIN(J$19)</f>
        <v>3.3876027589624966</v>
      </c>
      <c r="N745" s="74">
        <f t="shared" si="277"/>
        <v>0.34644986482172163</v>
      </c>
      <c r="O745" s="74">
        <f t="shared" si="278"/>
        <v>60.03361761701401</v>
      </c>
      <c r="P745" s="74">
        <f t="shared" si="279"/>
        <v>0.30175090054400894</v>
      </c>
    </row>
    <row r="746" spans="2:16" ht="13.5">
      <c r="B746" s="74">
        <f t="shared" si="281"/>
        <v>43.01458444501814</v>
      </c>
      <c r="C746" s="70">
        <f t="shared" si="271"/>
        <v>57.697</v>
      </c>
      <c r="D746" s="70">
        <f t="shared" si="280"/>
        <v>77</v>
      </c>
      <c r="E746" s="74">
        <f t="shared" si="272"/>
        <v>1.0070026185231682</v>
      </c>
      <c r="F746" s="74">
        <f t="shared" si="273"/>
        <v>1.3439035240356338</v>
      </c>
      <c r="G746" s="74">
        <f t="shared" si="274"/>
        <v>95.70639648921689</v>
      </c>
      <c r="H746" s="74">
        <f t="shared" si="275"/>
        <v>26.34648681054474</v>
      </c>
      <c r="I746" s="74">
        <f t="shared" si="266"/>
        <v>34.9476724316321</v>
      </c>
      <c r="J746" s="74">
        <f aca="true" t="shared" si="282" ref="J746:J755">0.5*$J$18*N746*$D$3+$G$18</f>
        <v>26.34648681054474</v>
      </c>
      <c r="K746" s="74">
        <f t="shared" si="267"/>
        <v>37.4577988480803</v>
      </c>
      <c r="L746" s="74">
        <f t="shared" si="276"/>
        <v>1.9319061275832015</v>
      </c>
      <c r="M746" s="74">
        <f aca="true" t="shared" si="283" ref="M746:M755">J$18/SIN(L746)*SIN(J$19)</f>
        <v>3.409415373203253</v>
      </c>
      <c r="N746" s="74">
        <f t="shared" si="277"/>
        <v>0.2894370209242849</v>
      </c>
      <c r="O746" s="74">
        <f t="shared" si="278"/>
        <v>58.815022539417775</v>
      </c>
      <c r="P746" s="74">
        <f t="shared" si="279"/>
        <v>0.30971549394446996</v>
      </c>
    </row>
    <row r="747" spans="2:16" ht="13.5">
      <c r="B747" s="74">
        <f t="shared" si="281"/>
        <v>42.81528965380471</v>
      </c>
      <c r="C747" s="70">
        <f t="shared" si="271"/>
        <v>57.697</v>
      </c>
      <c r="D747" s="70">
        <f t="shared" si="280"/>
        <v>78</v>
      </c>
      <c r="E747" s="74">
        <f t="shared" si="272"/>
        <v>1.0070026185231682</v>
      </c>
      <c r="F747" s="74">
        <f t="shared" si="273"/>
        <v>1.361356816555577</v>
      </c>
      <c r="G747" s="74">
        <f t="shared" si="274"/>
        <v>95.70639648921689</v>
      </c>
      <c r="H747" s="74">
        <f t="shared" si="275"/>
        <v>24.40614891650218</v>
      </c>
      <c r="I747" s="74">
        <f t="shared" si="266"/>
        <v>32.17574952279962</v>
      </c>
      <c r="J747" s="74">
        <f t="shared" si="282"/>
        <v>24.40614891650218</v>
      </c>
      <c r="K747" s="74">
        <f t="shared" si="267"/>
        <v>36.370545849157565</v>
      </c>
      <c r="L747" s="74">
        <f t="shared" si="276"/>
        <v>1.9493594201031446</v>
      </c>
      <c r="M747" s="74">
        <f t="shared" si="283"/>
        <v>3.4325630767730444</v>
      </c>
      <c r="N747" s="74">
        <f t="shared" si="277"/>
        <v>0.23166750165393885</v>
      </c>
      <c r="O747" s="74">
        <f t="shared" si="278"/>
        <v>57.61365508573688</v>
      </c>
      <c r="P747" s="74">
        <f t="shared" si="279"/>
        <v>0.31908168889540606</v>
      </c>
    </row>
    <row r="748" spans="2:16" ht="13.5">
      <c r="B748" s="74">
        <f t="shared" si="281"/>
        <v>42.58633677149131</v>
      </c>
      <c r="C748" s="70">
        <f t="shared" si="271"/>
        <v>57.697</v>
      </c>
      <c r="D748" s="70">
        <f t="shared" si="280"/>
        <v>79</v>
      </c>
      <c r="E748" s="74">
        <f t="shared" si="272"/>
        <v>1.0070026185231682</v>
      </c>
      <c r="F748" s="74">
        <f t="shared" si="273"/>
        <v>1.3788101090755203</v>
      </c>
      <c r="G748" s="74">
        <f t="shared" si="274"/>
        <v>95.70639648921689</v>
      </c>
      <c r="H748" s="74">
        <f t="shared" si="275"/>
        <v>22.438680258289008</v>
      </c>
      <c r="I748" s="74">
        <f t="shared" si="266"/>
        <v>29.424319295722153</v>
      </c>
      <c r="J748" s="74">
        <f t="shared" si="282"/>
        <v>22.438680258289008</v>
      </c>
      <c r="K748" s="74">
        <f t="shared" si="267"/>
        <v>35.29133085505204</v>
      </c>
      <c r="L748" s="74">
        <f t="shared" si="276"/>
        <v>1.9668127126230877</v>
      </c>
      <c r="M748" s="74">
        <f t="shared" si="283"/>
        <v>3.4570875053272205</v>
      </c>
      <c r="N748" s="74">
        <f t="shared" si="277"/>
        <v>0.17309022039101127</v>
      </c>
      <c r="O748" s="74">
        <f t="shared" si="278"/>
        <v>56.42744956135425</v>
      </c>
      <c r="P748" s="74">
        <f t="shared" si="279"/>
        <v>0.329877642605996</v>
      </c>
    </row>
    <row r="749" spans="2:16" ht="13.5">
      <c r="B749" s="74">
        <f t="shared" si="281"/>
        <v>42.327290485815446</v>
      </c>
      <c r="C749" s="70">
        <f t="shared" si="271"/>
        <v>57.697</v>
      </c>
      <c r="D749" s="70">
        <f t="shared" si="280"/>
        <v>80</v>
      </c>
      <c r="E749" s="74">
        <f t="shared" si="272"/>
        <v>1.0070026185231682</v>
      </c>
      <c r="F749" s="74">
        <f t="shared" si="273"/>
        <v>1.3962634015954636</v>
      </c>
      <c r="G749" s="74">
        <f t="shared" si="274"/>
        <v>95.70639648921689</v>
      </c>
      <c r="H749" s="74">
        <f t="shared" si="275"/>
        <v>20.442283082501756</v>
      </c>
      <c r="I749" s="74">
        <f t="shared" si="266"/>
        <v>26.691496704743898</v>
      </c>
      <c r="J749" s="74">
        <f t="shared" si="282"/>
        <v>20.442283082501756</v>
      </c>
      <c r="K749" s="74">
        <f t="shared" si="267"/>
        <v>34.21941447956511</v>
      </c>
      <c r="L749" s="74">
        <f t="shared" si="276"/>
        <v>1.9842660051430312</v>
      </c>
      <c r="M749" s="74">
        <f t="shared" si="283"/>
        <v>3.483033492591896</v>
      </c>
      <c r="N749" s="74">
        <f t="shared" si="277"/>
        <v>0.1136516527724497</v>
      </c>
      <c r="O749" s="74">
        <f t="shared" si="278"/>
        <v>55.25435353786829</v>
      </c>
      <c r="P749" s="74">
        <f t="shared" si="279"/>
        <v>0.3421361231560087</v>
      </c>
    </row>
    <row r="750" spans="2:16" ht="13.5">
      <c r="B750" s="74">
        <f t="shared" si="281"/>
        <v>42.03762700864377</v>
      </c>
      <c r="C750" s="70">
        <f t="shared" si="271"/>
        <v>57.697</v>
      </c>
      <c r="D750" s="70">
        <f t="shared" si="280"/>
        <v>81</v>
      </c>
      <c r="E750" s="74">
        <f t="shared" si="272"/>
        <v>1.0070026185231682</v>
      </c>
      <c r="F750" s="74">
        <f t="shared" si="273"/>
        <v>1.413716694115407</v>
      </c>
      <c r="G750" s="74">
        <f t="shared" si="274"/>
        <v>95.70639648921689</v>
      </c>
      <c r="H750" s="74">
        <f t="shared" si="275"/>
        <v>18.415070572518374</v>
      </c>
      <c r="I750" s="74">
        <f t="shared" si="266"/>
        <v>23.97544465412669</v>
      </c>
      <c r="J750" s="74">
        <f t="shared" si="282"/>
        <v>18.415070572518374</v>
      </c>
      <c r="K750" s="74">
        <f t="shared" si="267"/>
        <v>33.15407614426935</v>
      </c>
      <c r="L750" s="74">
        <f t="shared" si="276"/>
        <v>2.0017192976629743</v>
      </c>
      <c r="M750" s="74">
        <f t="shared" si="283"/>
        <v>3.510449285294637</v>
      </c>
      <c r="N750" s="74">
        <f t="shared" si="277"/>
        <v>0.053295622763378</v>
      </c>
      <c r="O750" s="74">
        <f t="shared" si="278"/>
        <v>54.092318680821336</v>
      </c>
      <c r="P750" s="74">
        <f t="shared" si="279"/>
        <v>0.35589408641807524</v>
      </c>
    </row>
    <row r="751" spans="2:16" ht="13.5">
      <c r="B751" s="74">
        <f t="shared" si="281"/>
        <v>43.54802543133881</v>
      </c>
      <c r="C751" s="70">
        <f t="shared" si="271"/>
        <v>57.697</v>
      </c>
      <c r="D751" s="70">
        <f t="shared" si="280"/>
        <v>82</v>
      </c>
      <c r="E751" s="74">
        <f t="shared" si="272"/>
        <v>1.0070026185231682</v>
      </c>
      <c r="F751" s="74">
        <f t="shared" si="273"/>
        <v>1.43116998663535</v>
      </c>
      <c r="G751" s="74">
        <f t="shared" si="274"/>
        <v>95.70639648921689</v>
      </c>
      <c r="H751" s="74">
        <f t="shared" si="275"/>
        <v>21.274368853074545</v>
      </c>
      <c r="I751" s="74">
        <f t="shared" si="266"/>
        <v>21.274368853074545</v>
      </c>
      <c r="J751" s="74">
        <f t="shared" si="282"/>
        <v>16.355059041525283</v>
      </c>
      <c r="K751" s="74">
        <f t="shared" si="267"/>
        <v>32.09461206045451</v>
      </c>
      <c r="L751" s="74">
        <f t="shared" si="276"/>
        <v>2.0191725901829174</v>
      </c>
      <c r="M751" s="74">
        <f t="shared" si="283"/>
        <v>3.539386779747792</v>
      </c>
      <c r="N751" s="74">
        <f t="shared" si="277"/>
        <v>-0.008036929779261789</v>
      </c>
      <c r="O751" s="74">
        <f t="shared" si="278"/>
        <v>55.263237502812856</v>
      </c>
      <c r="P751" s="74">
        <f t="shared" si="279"/>
        <v>0.28480053107669184</v>
      </c>
    </row>
    <row r="752" spans="2:16" ht="13.5">
      <c r="B752" s="74">
        <f t="shared" si="281"/>
        <v>42.991248375707826</v>
      </c>
      <c r="C752" s="70">
        <f t="shared" si="271"/>
        <v>57.697</v>
      </c>
      <c r="D752" s="70">
        <f t="shared" si="280"/>
        <v>83</v>
      </c>
      <c r="E752" s="74">
        <f t="shared" si="272"/>
        <v>1.0070026185231682</v>
      </c>
      <c r="F752" s="74">
        <f t="shared" si="273"/>
        <v>1.4486232791552935</v>
      </c>
      <c r="G752" s="74">
        <f t="shared" si="274"/>
        <v>95.70639648921689</v>
      </c>
      <c r="H752" s="74">
        <f t="shared" si="275"/>
        <v>18.586512906677186</v>
      </c>
      <c r="I752" s="74">
        <f t="shared" si="266"/>
        <v>18.586512906677186</v>
      </c>
      <c r="J752" s="74">
        <f t="shared" si="282"/>
        <v>14.26015943222883</v>
      </c>
      <c r="K752" s="74">
        <f t="shared" si="267"/>
        <v>31.040333303609955</v>
      </c>
      <c r="L752" s="74">
        <f t="shared" si="276"/>
        <v>2.036625882702861</v>
      </c>
      <c r="M752" s="74">
        <f t="shared" si="283"/>
        <v>3.569901782381449</v>
      </c>
      <c r="N752" s="74">
        <f t="shared" si="277"/>
        <v>-0.0704082021850964</v>
      </c>
      <c r="O752" s="74">
        <f t="shared" si="278"/>
        <v>53.83087507987469</v>
      </c>
      <c r="P752" s="74">
        <f t="shared" si="279"/>
        <v>0.3108106544760952</v>
      </c>
    </row>
    <row r="753" spans="2:16" ht="13.5">
      <c r="B753" s="74">
        <f t="shared" si="281"/>
        <v>42.415493929953406</v>
      </c>
      <c r="C753" s="70">
        <f t="shared" si="271"/>
        <v>57.697</v>
      </c>
      <c r="D753" s="70">
        <f t="shared" si="280"/>
        <v>84</v>
      </c>
      <c r="E753" s="74">
        <f t="shared" si="272"/>
        <v>1.0070026185231682</v>
      </c>
      <c r="F753" s="74">
        <f t="shared" si="273"/>
        <v>1.4660765716752369</v>
      </c>
      <c r="G753" s="74">
        <f t="shared" si="274"/>
        <v>95.70639648921689</v>
      </c>
      <c r="H753" s="74">
        <f t="shared" si="275"/>
        <v>15.910153613341771</v>
      </c>
      <c r="I753" s="74">
        <f t="shared" si="266"/>
        <v>15.910153613341771</v>
      </c>
      <c r="J753" s="74">
        <f t="shared" si="282"/>
        <v>12.128168042573405</v>
      </c>
      <c r="K753" s="74">
        <f t="shared" si="267"/>
        <v>29.990563968899536</v>
      </c>
      <c r="L753" s="74">
        <f t="shared" si="276"/>
        <v>2.0540791752228045</v>
      </c>
      <c r="M753" s="74">
        <f t="shared" si="283"/>
        <v>3.602054296824678</v>
      </c>
      <c r="N753" s="74">
        <f t="shared" si="277"/>
        <v>-0.1338838050927462</v>
      </c>
      <c r="O753" s="74">
        <f t="shared" si="278"/>
        <v>52.42843379665211</v>
      </c>
      <c r="P753" s="74">
        <f t="shared" si="279"/>
        <v>0.33795720675526514</v>
      </c>
    </row>
    <row r="754" spans="2:16" ht="13.5">
      <c r="B754" s="74">
        <f t="shared" si="281"/>
        <v>41.820697411290155</v>
      </c>
      <c r="C754" s="70">
        <f t="shared" si="271"/>
        <v>57.697</v>
      </c>
      <c r="D754" s="70">
        <f t="shared" si="280"/>
        <v>85</v>
      </c>
      <c r="E754" s="74">
        <f t="shared" si="272"/>
        <v>1.0070026185231682</v>
      </c>
      <c r="F754" s="74">
        <f t="shared" si="273"/>
        <v>1.4835298641951802</v>
      </c>
      <c r="G754" s="74">
        <f t="shared" si="274"/>
        <v>95.70639648921689</v>
      </c>
      <c r="H754" s="74">
        <f t="shared" si="275"/>
        <v>13.24359644123674</v>
      </c>
      <c r="I754" s="74">
        <f t="shared" si="266"/>
        <v>13.24359644123674</v>
      </c>
      <c r="J754" s="74">
        <f t="shared" si="282"/>
        <v>9.956756386451493</v>
      </c>
      <c r="K754" s="74">
        <f t="shared" si="267"/>
        <v>28.944639396851734</v>
      </c>
      <c r="L754" s="74">
        <f t="shared" si="276"/>
        <v>2.0715324677427476</v>
      </c>
      <c r="M754" s="74">
        <f t="shared" si="283"/>
        <v>3.6359088404790922</v>
      </c>
      <c r="N754" s="74">
        <f t="shared" si="277"/>
        <v>-0.1985330643260647</v>
      </c>
      <c r="O754" s="74">
        <f t="shared" si="278"/>
        <v>51.05364468398503</v>
      </c>
      <c r="P754" s="74">
        <f t="shared" si="279"/>
        <v>0.3662296227225293</v>
      </c>
    </row>
    <row r="755" spans="2:16" ht="13.5">
      <c r="B755" s="74">
        <f t="shared" si="281"/>
        <v>41.20674408924981</v>
      </c>
      <c r="C755" s="70">
        <f t="shared" si="271"/>
        <v>57.697</v>
      </c>
      <c r="D755" s="70">
        <f t="shared" si="280"/>
        <v>86</v>
      </c>
      <c r="E755" s="74">
        <f t="shared" si="272"/>
        <v>1.0070026185231682</v>
      </c>
      <c r="F755" s="74">
        <f t="shared" si="273"/>
        <v>1.5009831567151233</v>
      </c>
      <c r="G755" s="74">
        <f t="shared" si="274"/>
        <v>95.70639648921689</v>
      </c>
      <c r="H755" s="74">
        <f t="shared" si="275"/>
        <v>10.585171157948913</v>
      </c>
      <c r="I755" s="74">
        <f t="shared" si="266"/>
        <v>10.585171157948913</v>
      </c>
      <c r="J755" s="74">
        <f t="shared" si="282"/>
        <v>7.743460086500027</v>
      </c>
      <c r="K755" s="74">
        <f t="shared" si="267"/>
        <v>27.90190445914594</v>
      </c>
      <c r="L755" s="74">
        <f t="shared" si="276"/>
        <v>2.0889857602626907</v>
      </c>
      <c r="M755" s="74">
        <f t="shared" si="283"/>
        <v>3.6715347939252476</v>
      </c>
      <c r="N755" s="74">
        <f t="shared" si="277"/>
        <v>-0.26442935158799213</v>
      </c>
      <c r="O755" s="74">
        <f t="shared" si="278"/>
        <v>49.70431431986034</v>
      </c>
      <c r="P755" s="74">
        <f t="shared" si="279"/>
        <v>0.3956107611234457</v>
      </c>
    </row>
    <row r="756" spans="2:16" ht="13.5">
      <c r="B756" s="74">
        <f t="shared" si="281"/>
        <v>40.57346985644911</v>
      </c>
      <c r="C756" s="70">
        <f t="shared" si="271"/>
        <v>57.697</v>
      </c>
      <c r="D756" s="70">
        <f t="shared" si="280"/>
        <v>87</v>
      </c>
      <c r="E756" s="74">
        <f t="shared" si="272"/>
        <v>1.0070026185231682</v>
      </c>
      <c r="F756" s="74">
        <f t="shared" si="273"/>
        <v>1.5184364492350666</v>
      </c>
      <c r="G756" s="74">
        <f t="shared" si="274"/>
        <v>95.70639648921689</v>
      </c>
      <c r="H756" s="74">
        <f t="shared" si="275"/>
        <v>7.933227588970383</v>
      </c>
      <c r="I756" s="74">
        <f aca="true" t="shared" si="284" ref="I756:I776">(0.5*$D$3*$D$9+$D$6)*$D$9/TAN(F756)</f>
        <v>7.933227588970383</v>
      </c>
      <c r="J756" s="74">
        <f aca="true" t="shared" si="285" ref="J756:J790">0.5*$J$18*N756*$D$3+$G$18</f>
        <v>5.4856666823648865</v>
      </c>
      <c r="K756" s="74">
        <f aca="true" t="shared" si="286" ref="K756:K776">0.5*$D$3*$D$8^2*(1/TAN(F756)-1/TAN($D$16))+$G$19</f>
        <v>26.861711894930572</v>
      </c>
      <c r="L756" s="74">
        <f t="shared" si="276"/>
        <v>2.106439052782634</v>
      </c>
      <c r="M756" s="74">
        <f aca="true" t="shared" si="287" ref="M756:M790">J$18/SIN(L756)*SIN(J$19)</f>
        <v>3.7090067869585464</v>
      </c>
      <c r="N756" s="74">
        <f t="shared" si="277"/>
        <v>-0.3316504474440855</v>
      </c>
      <c r="O756" s="74">
        <f t="shared" si="278"/>
        <v>48.37831611981572</v>
      </c>
      <c r="P756" s="74">
        <f t="shared" si="279"/>
        <v>0.4260759567614811</v>
      </c>
    </row>
    <row r="757" spans="2:16" ht="13.5">
      <c r="B757" s="74">
        <f t="shared" si="281"/>
        <v>39.920661624109265</v>
      </c>
      <c r="C757" s="70">
        <f t="shared" si="271"/>
        <v>57.697</v>
      </c>
      <c r="D757" s="70">
        <f t="shared" si="280"/>
        <v>88</v>
      </c>
      <c r="E757" s="74">
        <f t="shared" si="272"/>
        <v>1.0070026185231682</v>
      </c>
      <c r="F757" s="74">
        <f t="shared" si="273"/>
        <v>1.53588974175501</v>
      </c>
      <c r="G757" s="74">
        <f t="shared" si="274"/>
        <v>95.70639648921689</v>
      </c>
      <c r="H757" s="74">
        <f t="shared" si="275"/>
        <v>5.286131481813329</v>
      </c>
      <c r="I757" s="74">
        <f t="shared" si="284"/>
        <v>5.286131481813329</v>
      </c>
      <c r="J757" s="74">
        <f t="shared" si="285"/>
        <v>3.180602221976846</v>
      </c>
      <c r="K757" s="74">
        <f t="shared" si="286"/>
        <v>25.823420688572526</v>
      </c>
      <c r="L757" s="74">
        <f t="shared" si="276"/>
        <v>2.1238923453025773</v>
      </c>
      <c r="M757" s="74">
        <f t="shared" si="287"/>
        <v>3.7484051255774977</v>
      </c>
      <c r="N757" s="74">
        <f t="shared" si="277"/>
        <v>-0.4002789405393484</v>
      </c>
      <c r="O757" s="74">
        <f t="shared" si="278"/>
        <v>47.07358203507568</v>
      </c>
      <c r="P757" s="74">
        <f t="shared" si="279"/>
        <v>0.457592142172456</v>
      </c>
    </row>
    <row r="758" spans="2:16" ht="13.5">
      <c r="B758" s="74">
        <f t="shared" si="281"/>
        <v>39.24805745021881</v>
      </c>
      <c r="C758" s="70">
        <f t="shared" si="271"/>
        <v>57.697</v>
      </c>
      <c r="D758" s="70">
        <f t="shared" si="280"/>
        <v>89</v>
      </c>
      <c r="E758" s="74">
        <f t="shared" si="272"/>
        <v>1.0070026185231682</v>
      </c>
      <c r="F758" s="74">
        <f t="shared" si="273"/>
        <v>1.5533430342749535</v>
      </c>
      <c r="G758" s="74">
        <f t="shared" si="274"/>
        <v>95.70639648921689</v>
      </c>
      <c r="H758" s="74">
        <f t="shared" si="275"/>
        <v>2.642260453508916</v>
      </c>
      <c r="I758" s="74">
        <f t="shared" si="284"/>
        <v>2.642260453508916</v>
      </c>
      <c r="J758" s="74">
        <f t="shared" si="285"/>
        <v>0.8253164850416557</v>
      </c>
      <c r="K758" s="74">
        <f t="shared" si="286"/>
        <v>24.78639448011291</v>
      </c>
      <c r="L758" s="74">
        <f t="shared" si="276"/>
        <v>2.141345637822521</v>
      </c>
      <c r="M758" s="74">
        <f t="shared" si="287"/>
        <v>3.7898162648555984</v>
      </c>
      <c r="N758" s="74">
        <f t="shared" si="277"/>
        <v>-0.47040266753803595</v>
      </c>
      <c r="O758" s="74">
        <f t="shared" si="278"/>
        <v>45.788094597251224</v>
      </c>
      <c r="P758" s="74">
        <f t="shared" si="279"/>
        <v>0.49011708299102824</v>
      </c>
    </row>
    <row r="759" spans="2:16" ht="13.5">
      <c r="B759" s="74">
        <f t="shared" si="281"/>
        <v>38.55534640569658</v>
      </c>
      <c r="C759" s="70">
        <f t="shared" si="271"/>
        <v>57.697</v>
      </c>
      <c r="D759" s="70">
        <f t="shared" si="280"/>
        <v>90</v>
      </c>
      <c r="E759" s="74">
        <f t="shared" si="272"/>
        <v>1.0070026185231682</v>
      </c>
      <c r="F759" s="74">
        <f t="shared" si="273"/>
        <v>1.5707963267948966</v>
      </c>
      <c r="G759" s="74">
        <f t="shared" si="274"/>
        <v>95.70639648921689</v>
      </c>
      <c r="H759" s="74">
        <f t="shared" si="275"/>
        <v>9.272842368089618E-15</v>
      </c>
      <c r="I759" s="74">
        <f t="shared" si="284"/>
        <v>9.272842368089618E-15</v>
      </c>
      <c r="J759" s="74">
        <f t="shared" si="285"/>
        <v>-1.5833333333333073</v>
      </c>
      <c r="K759" s="74">
        <f t="shared" si="286"/>
        <v>23.750000000000007</v>
      </c>
      <c r="L759" s="74">
        <f t="shared" si="276"/>
        <v>2.158798930342464</v>
      </c>
      <c r="M759" s="74">
        <f t="shared" si="287"/>
        <v>3.8333333333333317</v>
      </c>
      <c r="N759" s="74">
        <f t="shared" si="277"/>
        <v>-0.5421151989096857</v>
      </c>
      <c r="O759" s="74">
        <f t="shared" si="278"/>
        <v>44.51987925205638</v>
      </c>
      <c r="P759" s="74">
        <f t="shared" si="279"/>
        <v>0.5235987755982985</v>
      </c>
    </row>
    <row r="760" spans="2:16" ht="13.5">
      <c r="B760" s="74">
        <f t="shared" si="281"/>
        <v>41.84405769663288</v>
      </c>
      <c r="C760" s="70">
        <f>C759+J600</f>
        <v>58.081</v>
      </c>
      <c r="D760" s="70">
        <f t="shared" si="280"/>
        <v>60</v>
      </c>
      <c r="E760" s="74">
        <f t="shared" si="272"/>
        <v>1.0137046828508265</v>
      </c>
      <c r="F760" s="74">
        <f t="shared" si="273"/>
        <v>1.0471975511965976</v>
      </c>
      <c r="G760" s="74">
        <f t="shared" si="274"/>
        <v>94.2922998743363</v>
      </c>
      <c r="H760" s="74">
        <f t="shared" si="275"/>
        <v>56.61327536344993</v>
      </c>
      <c r="I760" s="74">
        <f t="shared" si="284"/>
        <v>87.39639699857963</v>
      </c>
      <c r="J760" s="74">
        <f t="shared" si="285"/>
        <v>56.61327536344993</v>
      </c>
      <c r="K760" s="74">
        <f t="shared" si="286"/>
        <v>58.03017223313404</v>
      </c>
      <c r="L760" s="74">
        <f t="shared" si="276"/>
        <v>1.6352001547441652</v>
      </c>
      <c r="M760" s="74">
        <f t="shared" si="287"/>
        <v>3.196152422706631</v>
      </c>
      <c r="N760" s="74">
        <f t="shared" si="277"/>
        <v>1.1905676074715958</v>
      </c>
      <c r="O760" s="74">
        <f t="shared" si="278"/>
        <v>83.68811539326578</v>
      </c>
      <c r="P760" s="74">
        <f t="shared" si="279"/>
        <v>0.3623535726673778</v>
      </c>
    </row>
    <row r="761" spans="2:16" ht="13.5">
      <c r="B761" s="74">
        <f t="shared" si="281"/>
        <v>42.16620981662489</v>
      </c>
      <c r="C761" s="70">
        <f>C760</f>
        <v>58.081</v>
      </c>
      <c r="D761" s="70">
        <f t="shared" si="280"/>
        <v>61</v>
      </c>
      <c r="E761" s="74">
        <f t="shared" si="272"/>
        <v>1.0137046828508265</v>
      </c>
      <c r="F761" s="74">
        <f t="shared" si="273"/>
        <v>1.064650843716541</v>
      </c>
      <c r="G761" s="74">
        <f t="shared" si="274"/>
        <v>94.2922998743363</v>
      </c>
      <c r="H761" s="74">
        <f t="shared" si="275"/>
        <v>54.91741842603781</v>
      </c>
      <c r="I761" s="74">
        <f t="shared" si="284"/>
        <v>83.90853266366291</v>
      </c>
      <c r="J761" s="74">
        <f t="shared" si="285"/>
        <v>54.91741842603781</v>
      </c>
      <c r="K761" s="74">
        <f t="shared" si="286"/>
        <v>56.662099930008154</v>
      </c>
      <c r="L761" s="74">
        <f t="shared" si="276"/>
        <v>1.6526534472641083</v>
      </c>
      <c r="M761" s="74">
        <f t="shared" si="287"/>
        <v>3.200241894286732</v>
      </c>
      <c r="N761" s="74">
        <f t="shared" si="277"/>
        <v>1.1400769994561701</v>
      </c>
      <c r="O761" s="74">
        <f t="shared" si="278"/>
        <v>81.8700827584228</v>
      </c>
      <c r="P761" s="74">
        <f t="shared" si="279"/>
        <v>0.3472153532004736</v>
      </c>
    </row>
    <row r="762" spans="2:16" ht="13.5">
      <c r="B762" s="74">
        <f t="shared" si="281"/>
        <v>42.45273981549755</v>
      </c>
      <c r="C762" s="70">
        <f aca="true" t="shared" si="288" ref="C762:C790">C761</f>
        <v>58.081</v>
      </c>
      <c r="D762" s="70">
        <f t="shared" si="280"/>
        <v>62</v>
      </c>
      <c r="E762" s="74">
        <f t="shared" si="272"/>
        <v>1.0137046828508265</v>
      </c>
      <c r="F762" s="74">
        <f t="shared" si="273"/>
        <v>1.0821041362364843</v>
      </c>
      <c r="G762" s="74">
        <f t="shared" si="274"/>
        <v>94.2922998743363</v>
      </c>
      <c r="H762" s="74">
        <f t="shared" si="275"/>
        <v>53.21669751699319</v>
      </c>
      <c r="I762" s="74">
        <f t="shared" si="284"/>
        <v>80.48751521775635</v>
      </c>
      <c r="J762" s="74">
        <f t="shared" si="285"/>
        <v>53.21669751699319</v>
      </c>
      <c r="K762" s="74">
        <f t="shared" si="286"/>
        <v>55.3202475049003</v>
      </c>
      <c r="L762" s="74">
        <f t="shared" si="276"/>
        <v>1.6701067397840519</v>
      </c>
      <c r="M762" s="74">
        <f t="shared" si="287"/>
        <v>3.205319466443784</v>
      </c>
      <c r="N762" s="74">
        <f t="shared" si="277"/>
        <v>1.0894415768165406</v>
      </c>
      <c r="O762" s="74">
        <f t="shared" si="278"/>
        <v>80.11171263404968</v>
      </c>
      <c r="P762" s="74">
        <f t="shared" si="279"/>
        <v>0.33380601254987874</v>
      </c>
    </row>
    <row r="763" spans="2:16" ht="13.5">
      <c r="B763" s="74">
        <f t="shared" si="281"/>
        <v>42.70476172529887</v>
      </c>
      <c r="C763" s="70">
        <f t="shared" si="288"/>
        <v>58.081</v>
      </c>
      <c r="D763" s="70">
        <f t="shared" si="280"/>
        <v>63</v>
      </c>
      <c r="E763" s="74">
        <f t="shared" si="272"/>
        <v>1.0137046828508265</v>
      </c>
      <c r="F763" s="74">
        <f t="shared" si="273"/>
        <v>1.0995574287564276</v>
      </c>
      <c r="G763" s="74">
        <f t="shared" si="274"/>
        <v>94.2922998743363</v>
      </c>
      <c r="H763" s="74">
        <f t="shared" si="275"/>
        <v>51.51005054407396</v>
      </c>
      <c r="I763" s="74">
        <f t="shared" si="284"/>
        <v>77.12941491721917</v>
      </c>
      <c r="J763" s="74">
        <f t="shared" si="285"/>
        <v>51.51005054407396</v>
      </c>
      <c r="K763" s="74">
        <f t="shared" si="286"/>
        <v>54.00307356373172</v>
      </c>
      <c r="L763" s="74">
        <f t="shared" si="276"/>
        <v>1.687560032303995</v>
      </c>
      <c r="M763" s="74">
        <f t="shared" si="287"/>
        <v>3.2113929525108333</v>
      </c>
      <c r="N763" s="74">
        <f t="shared" si="277"/>
        <v>1.0386297179684278</v>
      </c>
      <c r="O763" s="74">
        <f t="shared" si="278"/>
        <v>78.40929309101139</v>
      </c>
      <c r="P763" s="74">
        <f t="shared" si="279"/>
        <v>0.3220581167636488</v>
      </c>
    </row>
    <row r="764" spans="2:16" ht="13.5">
      <c r="B764" s="74">
        <f t="shared" si="281"/>
        <v>42.92326862362246</v>
      </c>
      <c r="C764" s="70">
        <f t="shared" si="288"/>
        <v>58.081</v>
      </c>
      <c r="D764" s="70">
        <f t="shared" si="280"/>
        <v>64</v>
      </c>
      <c r="E764" s="74">
        <f t="shared" si="272"/>
        <v>1.0137046828508265</v>
      </c>
      <c r="F764" s="74">
        <f t="shared" si="273"/>
        <v>1.117010721276371</v>
      </c>
      <c r="G764" s="74">
        <f t="shared" si="274"/>
        <v>94.2922998743363</v>
      </c>
      <c r="H764" s="74">
        <f t="shared" si="275"/>
        <v>49.7964007486329</v>
      </c>
      <c r="I764" s="74">
        <f t="shared" si="284"/>
        <v>73.83052059415728</v>
      </c>
      <c r="J764" s="74">
        <f t="shared" si="285"/>
        <v>49.7964007486329</v>
      </c>
      <c r="K764" s="74">
        <f t="shared" si="286"/>
        <v>52.70912244609802</v>
      </c>
      <c r="L764" s="74">
        <f t="shared" si="276"/>
        <v>1.7050133248239385</v>
      </c>
      <c r="M764" s="74">
        <f t="shared" si="287"/>
        <v>3.21847173736185</v>
      </c>
      <c r="N764" s="74">
        <f t="shared" si="277"/>
        <v>0.9876093646658881</v>
      </c>
      <c r="O764" s="74">
        <f t="shared" si="278"/>
        <v>76.75932286910346</v>
      </c>
      <c r="P764" s="74">
        <f t="shared" si="279"/>
        <v>0.311910152260356</v>
      </c>
    </row>
    <row r="765" spans="2:16" ht="13.5">
      <c r="B765" s="74">
        <f t="shared" si="281"/>
        <v>43.10913981082866</v>
      </c>
      <c r="C765" s="70">
        <f t="shared" si="288"/>
        <v>58.081</v>
      </c>
      <c r="D765" s="70">
        <f t="shared" si="280"/>
        <v>65</v>
      </c>
      <c r="E765" s="74">
        <f t="shared" si="272"/>
        <v>1.0137046828508265</v>
      </c>
      <c r="F765" s="74">
        <f t="shared" si="273"/>
        <v>1.1344640137963142</v>
      </c>
      <c r="G765" s="74">
        <f t="shared" si="274"/>
        <v>94.2922998743363</v>
      </c>
      <c r="H765" s="74">
        <f t="shared" si="275"/>
        <v>48.07465394252364</v>
      </c>
      <c r="I765" s="74">
        <f t="shared" si="284"/>
        <v>70.58732175321292</v>
      </c>
      <c r="J765" s="74">
        <f t="shared" si="285"/>
        <v>48.07465394252364</v>
      </c>
      <c r="K765" s="74">
        <f t="shared" si="286"/>
        <v>51.43701720295304</v>
      </c>
      <c r="L765" s="74">
        <f t="shared" si="276"/>
        <v>1.7224666173438816</v>
      </c>
      <c r="M765" s="74">
        <f t="shared" si="287"/>
        <v>3.2265668130425462</v>
      </c>
      <c r="N765" s="74">
        <f t="shared" si="277"/>
        <v>0.9363479397359457</v>
      </c>
      <c r="O765" s="74">
        <f t="shared" si="278"/>
        <v>75.15849166517113</v>
      </c>
      <c r="P765" s="74">
        <f t="shared" si="279"/>
        <v>0.3033068831607345</v>
      </c>
    </row>
    <row r="766" spans="2:16" ht="13.5">
      <c r="B766" s="74">
        <f t="shared" si="281"/>
        <v>43.263147082997264</v>
      </c>
      <c r="C766" s="70">
        <f t="shared" si="288"/>
        <v>58.081</v>
      </c>
      <c r="D766" s="70">
        <f t="shared" si="280"/>
        <v>66</v>
      </c>
      <c r="E766" s="74">
        <f t="shared" si="272"/>
        <v>1.0137046828508265</v>
      </c>
      <c r="F766" s="74">
        <f t="shared" si="273"/>
        <v>1.1519173063162575</v>
      </c>
      <c r="G766" s="74">
        <f t="shared" si="274"/>
        <v>94.2922998743363</v>
      </c>
      <c r="H766" s="74">
        <f t="shared" si="275"/>
        <v>46.34369565210348</v>
      </c>
      <c r="I766" s="74">
        <f t="shared" si="284"/>
        <v>67.39649223857965</v>
      </c>
      <c r="J766" s="74">
        <f t="shared" si="285"/>
        <v>46.34369565210348</v>
      </c>
      <c r="K766" s="74">
        <f t="shared" si="286"/>
        <v>50.18545319019432</v>
      </c>
      <c r="L766" s="74">
        <f t="shared" si="276"/>
        <v>1.7399199098638252</v>
      </c>
      <c r="M766" s="74">
        <f t="shared" si="287"/>
        <v>3.235690820800044</v>
      </c>
      <c r="N766" s="74">
        <f t="shared" si="277"/>
        <v>0.8848122620472225</v>
      </c>
      <c r="O766" s="74">
        <f t="shared" si="278"/>
        <v>73.60366207600963</v>
      </c>
      <c r="P766" s="74">
        <f t="shared" si="279"/>
        <v>0.29619955038616713</v>
      </c>
    </row>
    <row r="767" spans="2:16" ht="13.5">
      <c r="B767" s="74">
        <f t="shared" si="281"/>
        <v>43.38596018024586</v>
      </c>
      <c r="C767" s="70">
        <f t="shared" si="288"/>
        <v>58.081</v>
      </c>
      <c r="D767" s="70">
        <f t="shared" si="280"/>
        <v>67</v>
      </c>
      <c r="E767" s="74">
        <f t="shared" si="272"/>
        <v>1.0137046828508265</v>
      </c>
      <c r="F767" s="74">
        <f t="shared" si="273"/>
        <v>1.1693705988362006</v>
      </c>
      <c r="G767" s="74">
        <f t="shared" si="274"/>
        <v>94.2922998743363</v>
      </c>
      <c r="H767" s="74">
        <f t="shared" si="275"/>
        <v>44.602388153158174</v>
      </c>
      <c r="I767" s="74">
        <f t="shared" si="284"/>
        <v>64.25487530372895</v>
      </c>
      <c r="J767" s="74">
        <f t="shared" si="285"/>
        <v>44.602388153158174</v>
      </c>
      <c r="K767" s="74">
        <f t="shared" si="286"/>
        <v>48.95319221244529</v>
      </c>
      <c r="L767" s="74">
        <f t="shared" si="276"/>
        <v>1.7573732023837683</v>
      </c>
      <c r="M767" s="74">
        <f t="shared" si="287"/>
        <v>3.2458580998131934</v>
      </c>
      <c r="N767" s="74">
        <f t="shared" si="277"/>
        <v>0.8329684582310031</v>
      </c>
      <c r="O767" s="74">
        <f t="shared" si="278"/>
        <v>72.09185299663818</v>
      </c>
      <c r="P767" s="74">
        <f t="shared" si="279"/>
        <v>0.2905459562566531</v>
      </c>
    </row>
    <row r="768" spans="2:16" ht="13.5">
      <c r="B768" s="74">
        <f t="shared" si="281"/>
        <v>43.47815147834444</v>
      </c>
      <c r="C768" s="70">
        <f t="shared" si="288"/>
        <v>58.081</v>
      </c>
      <c r="D768" s="70">
        <f t="shared" si="280"/>
        <v>68</v>
      </c>
      <c r="E768" s="74">
        <f t="shared" si="272"/>
        <v>1.0137046828508265</v>
      </c>
      <c r="F768" s="74">
        <f t="shared" si="273"/>
        <v>1.1868238913561442</v>
      </c>
      <c r="G768" s="74">
        <f t="shared" si="274"/>
        <v>94.2922998743363</v>
      </c>
      <c r="H768" s="74">
        <f t="shared" si="275"/>
        <v>42.84956737955771</v>
      </c>
      <c r="I768" s="74">
        <f t="shared" si="284"/>
        <v>61.15946993579685</v>
      </c>
      <c r="J768" s="74">
        <f t="shared" si="285"/>
        <v>42.84956737955771</v>
      </c>
      <c r="K768" s="74">
        <f t="shared" si="286"/>
        <v>47.739057158962424</v>
      </c>
      <c r="L768" s="74">
        <f t="shared" si="276"/>
        <v>1.7748264949037118</v>
      </c>
      <c r="M768" s="74">
        <f t="shared" si="287"/>
        <v>3.2570847429771757</v>
      </c>
      <c r="N768" s="74">
        <f t="shared" si="277"/>
        <v>0.7807818706428962</v>
      </c>
      <c r="O768" s="74">
        <f t="shared" si="278"/>
        <v>70.62022429671495</v>
      </c>
      <c r="P768" s="74">
        <f t="shared" si="279"/>
        <v>0.2863104688577111</v>
      </c>
    </row>
    <row r="769" spans="2:16" ht="13.5">
      <c r="B769" s="74">
        <f t="shared" si="281"/>
        <v>43.54019998120373</v>
      </c>
      <c r="C769" s="70">
        <f t="shared" si="288"/>
        <v>58.081</v>
      </c>
      <c r="D769" s="70">
        <f t="shared" si="280"/>
        <v>69</v>
      </c>
      <c r="E769" s="74">
        <f t="shared" si="272"/>
        <v>1.0137046828508265</v>
      </c>
      <c r="F769" s="74">
        <f t="shared" si="273"/>
        <v>1.2042771838760873</v>
      </c>
      <c r="G769" s="74">
        <f t="shared" si="274"/>
        <v>94.2922998743363</v>
      </c>
      <c r="H769" s="74">
        <f t="shared" si="275"/>
        <v>41.08403968726031</v>
      </c>
      <c r="I769" s="74">
        <f t="shared" si="284"/>
        <v>58.107418303486085</v>
      </c>
      <c r="J769" s="74">
        <f t="shared" si="285"/>
        <v>41.08403968726031</v>
      </c>
      <c r="K769" s="74">
        <f t="shared" si="286"/>
        <v>46.54192708022782</v>
      </c>
      <c r="L769" s="74">
        <f t="shared" si="276"/>
        <v>1.792279787423655</v>
      </c>
      <c r="M769" s="74">
        <f t="shared" si="287"/>
        <v>3.2693886601519666</v>
      </c>
      <c r="N769" s="74">
        <f t="shared" si="277"/>
        <v>0.7282169610177962</v>
      </c>
      <c r="O769" s="74">
        <f t="shared" si="278"/>
        <v>69.18606261680098</v>
      </c>
      <c r="P769" s="74">
        <f t="shared" si="279"/>
        <v>0.283463972371292</v>
      </c>
    </row>
    <row r="770" spans="2:16" ht="13.5">
      <c r="B770" s="74">
        <f t="shared" si="281"/>
        <v>43.57249466258744</v>
      </c>
      <c r="C770" s="70">
        <f t="shared" si="288"/>
        <v>58.081</v>
      </c>
      <c r="D770" s="70">
        <f t="shared" si="280"/>
        <v>70</v>
      </c>
      <c r="E770" s="74">
        <f t="shared" si="272"/>
        <v>1.0137046828508265</v>
      </c>
      <c r="F770" s="74">
        <f t="shared" si="273"/>
        <v>1.2217304763960306</v>
      </c>
      <c r="G770" s="74">
        <f t="shared" si="274"/>
        <v>94.2922998743363</v>
      </c>
      <c r="H770" s="74">
        <f t="shared" si="275"/>
        <v>39.30457845389725</v>
      </c>
      <c r="I770" s="74">
        <f t="shared" si="284"/>
        <v>55.09599421204639</v>
      </c>
      <c r="J770" s="74">
        <f t="shared" si="285"/>
        <v>39.30457845389725</v>
      </c>
      <c r="K770" s="74">
        <f t="shared" si="286"/>
        <v>45.360732659555765</v>
      </c>
      <c r="L770" s="74">
        <f t="shared" si="276"/>
        <v>1.809733079943598</v>
      </c>
      <c r="M770" s="74">
        <f t="shared" si="287"/>
        <v>3.2827896493451227</v>
      </c>
      <c r="N770" s="74">
        <f t="shared" si="277"/>
        <v>0.6752372092296027</v>
      </c>
      <c r="O770" s="74">
        <f t="shared" si="278"/>
        <v>67.78676814233543</v>
      </c>
      <c r="P770" s="74">
        <f t="shared" si="279"/>
        <v>0.2819837827798329</v>
      </c>
    </row>
    <row r="771" spans="2:16" ht="13.5">
      <c r="B771" s="74">
        <f t="shared" si="281"/>
        <v>43.57533719709345</v>
      </c>
      <c r="C771" s="70">
        <f t="shared" si="288"/>
        <v>58.081</v>
      </c>
      <c r="D771" s="70">
        <f t="shared" si="280"/>
        <v>71</v>
      </c>
      <c r="E771" s="74">
        <f t="shared" si="272"/>
        <v>1.0137046828508265</v>
      </c>
      <c r="F771" s="74">
        <f t="shared" si="273"/>
        <v>1.239183768915974</v>
      </c>
      <c r="G771" s="74">
        <f t="shared" si="274"/>
        <v>94.2922998743363</v>
      </c>
      <c r="H771" s="74">
        <f t="shared" si="275"/>
        <v>37.50992049257642</v>
      </c>
      <c r="I771" s="74">
        <f t="shared" si="284"/>
        <v>52.12259246172309</v>
      </c>
      <c r="J771" s="74">
        <f t="shared" si="285"/>
        <v>37.50992049257642</v>
      </c>
      <c r="K771" s="74">
        <f t="shared" si="286"/>
        <v>44.19445203907388</v>
      </c>
      <c r="L771" s="74">
        <f t="shared" si="276"/>
        <v>1.8271863724635415</v>
      </c>
      <c r="M771" s="74">
        <f t="shared" si="287"/>
        <v>3.297309476365921</v>
      </c>
      <c r="N771" s="74">
        <f t="shared" si="277"/>
        <v>0.6218050065196917</v>
      </c>
      <c r="O771" s="74">
        <f t="shared" si="278"/>
        <v>66.41984222691637</v>
      </c>
      <c r="P771" s="74">
        <f t="shared" si="279"/>
        <v>0.2818535426791321</v>
      </c>
    </row>
    <row r="772" spans="2:16" ht="13.5">
      <c r="B772" s="74">
        <f t="shared" si="281"/>
        <v>43.54894411290269</v>
      </c>
      <c r="C772" s="70">
        <f t="shared" si="288"/>
        <v>58.081</v>
      </c>
      <c r="D772" s="70">
        <f t="shared" si="280"/>
        <v>72</v>
      </c>
      <c r="E772" s="74">
        <f t="shared" si="272"/>
        <v>1.0137046828508265</v>
      </c>
      <c r="F772" s="74">
        <f t="shared" si="273"/>
        <v>1.2566370614359172</v>
      </c>
      <c r="G772" s="74">
        <f t="shared" si="274"/>
        <v>94.2922998743363</v>
      </c>
      <c r="H772" s="74">
        <f t="shared" si="275"/>
        <v>35.698762256707205</v>
      </c>
      <c r="I772" s="74">
        <f t="shared" si="284"/>
        <v>49.18471901725621</v>
      </c>
      <c r="J772" s="74">
        <f t="shared" si="285"/>
        <v>35.698762256707205</v>
      </c>
      <c r="K772" s="74">
        <f t="shared" si="286"/>
        <v>43.042106963828815</v>
      </c>
      <c r="L772" s="74">
        <f t="shared" si="276"/>
        <v>1.8446396649834846</v>
      </c>
      <c r="M772" s="74">
        <f t="shared" si="287"/>
        <v>3.3129719635610875</v>
      </c>
      <c r="N772" s="74">
        <f t="shared" si="277"/>
        <v>0.5678815425034818</v>
      </c>
      <c r="O772" s="74">
        <f t="shared" si="278"/>
        <v>65.08287574809746</v>
      </c>
      <c r="P772" s="74">
        <f t="shared" si="279"/>
        <v>0.2830631041676478</v>
      </c>
    </row>
    <row r="773" spans="2:16" ht="13.5">
      <c r="B773" s="74">
        <f t="shared" si="281"/>
        <v>43.49344839185054</v>
      </c>
      <c r="C773" s="70">
        <f t="shared" si="288"/>
        <v>58.081</v>
      </c>
      <c r="D773" s="70">
        <f t="shared" si="280"/>
        <v>73</v>
      </c>
      <c r="E773" s="74">
        <f t="shared" si="272"/>
        <v>1.0137046828508265</v>
      </c>
      <c r="F773" s="74">
        <f t="shared" si="273"/>
        <v>1.2740903539558606</v>
      </c>
      <c r="G773" s="74">
        <f t="shared" si="274"/>
        <v>94.2922998743363</v>
      </c>
      <c r="H773" s="74">
        <f t="shared" si="275"/>
        <v>33.86975581055276</v>
      </c>
      <c r="I773" s="74">
        <f t="shared" si="284"/>
        <v>46.27998190580472</v>
      </c>
      <c r="J773" s="74">
        <f t="shared" si="285"/>
        <v>33.86975581055276</v>
      </c>
      <c r="K773" s="74">
        <f t="shared" si="286"/>
        <v>41.90275921160796</v>
      </c>
      <c r="L773" s="74">
        <f t="shared" si="276"/>
        <v>1.8620929575034282</v>
      </c>
      <c r="M773" s="74">
        <f t="shared" si="287"/>
        <v>3.3298030883232532</v>
      </c>
      <c r="N773" s="74">
        <f t="shared" si="277"/>
        <v>0.5134266852020202</v>
      </c>
      <c r="O773" s="74">
        <f t="shared" si="278"/>
        <v>63.77353808866167</v>
      </c>
      <c r="P773" s="74">
        <f t="shared" si="279"/>
        <v>0.2856084047047807</v>
      </c>
    </row>
    <row r="774" spans="2:16" ht="13.5">
      <c r="B774" s="74">
        <f t="shared" si="281"/>
        <v>43.40890053590515</v>
      </c>
      <c r="C774" s="70">
        <f t="shared" si="288"/>
        <v>58.081</v>
      </c>
      <c r="D774" s="70">
        <f t="shared" si="280"/>
        <v>74</v>
      </c>
      <c r="E774" s="74">
        <f t="shared" si="272"/>
        <v>1.0137046828508265</v>
      </c>
      <c r="F774" s="74">
        <f t="shared" si="273"/>
        <v>1.2915436464758039</v>
      </c>
      <c r="G774" s="74">
        <f t="shared" si="274"/>
        <v>94.2922998743363</v>
      </c>
      <c r="H774" s="74">
        <f t="shared" si="275"/>
        <v>32.02150453781869</v>
      </c>
      <c r="I774" s="74">
        <f t="shared" si="284"/>
        <v>43.40608276923955</v>
      </c>
      <c r="J774" s="74">
        <f t="shared" si="285"/>
        <v>32.02150453781869</v>
      </c>
      <c r="K774" s="74">
        <f t="shared" si="286"/>
        <v>40.77550727942922</v>
      </c>
      <c r="L774" s="74">
        <f t="shared" si="276"/>
        <v>1.8795462500233713</v>
      </c>
      <c r="M774" s="74">
        <f t="shared" si="287"/>
        <v>3.347831092152982</v>
      </c>
      <c r="N774" s="74">
        <f t="shared" si="277"/>
        <v>0.4583988532741495</v>
      </c>
      <c r="O774" s="74">
        <f t="shared" si="278"/>
        <v>62.48956664442495</v>
      </c>
      <c r="P774" s="74">
        <f t="shared" si="279"/>
        <v>0.2894913372451586</v>
      </c>
    </row>
    <row r="775" spans="2:16" ht="13.5">
      <c r="B775" s="74">
        <f t="shared" si="281"/>
        <v>43.295269113015934</v>
      </c>
      <c r="C775" s="70">
        <f t="shared" si="288"/>
        <v>58.081</v>
      </c>
      <c r="D775" s="70">
        <f t="shared" si="280"/>
        <v>75</v>
      </c>
      <c r="E775" s="74">
        <f t="shared" si="272"/>
        <v>1.0137046828508265</v>
      </c>
      <c r="F775" s="74">
        <f t="shared" si="273"/>
        <v>1.3089969389957472</v>
      </c>
      <c r="G775" s="74">
        <f t="shared" si="274"/>
        <v>94.2922998743363</v>
      </c>
      <c r="H775" s="74">
        <f t="shared" si="275"/>
        <v>30.152558557855457</v>
      </c>
      <c r="I775" s="74">
        <f t="shared" si="284"/>
        <v>40.560809004261195</v>
      </c>
      <c r="J775" s="74">
        <f t="shared" si="285"/>
        <v>30.152558557855457</v>
      </c>
      <c r="K775" s="74">
        <f t="shared" si="286"/>
        <v>39.65948330059791</v>
      </c>
      <c r="L775" s="74">
        <f t="shared" si="276"/>
        <v>1.8969995425433148</v>
      </c>
      <c r="M775" s="74">
        <f t="shared" si="287"/>
        <v>3.3670866011551928</v>
      </c>
      <c r="N775" s="74">
        <f t="shared" si="277"/>
        <v>0.4027548795434824</v>
      </c>
      <c r="O775" s="74">
        <f t="shared" si="278"/>
        <v>61.22875676622009</v>
      </c>
      <c r="P775" s="74">
        <f t="shared" si="279"/>
        <v>0.29471961267164287</v>
      </c>
    </row>
    <row r="776" spans="2:16" ht="13.5">
      <c r="B776" s="74">
        <f t="shared" si="281"/>
        <v>43.15244078941502</v>
      </c>
      <c r="C776" s="70">
        <f t="shared" si="288"/>
        <v>58.081</v>
      </c>
      <c r="D776" s="70">
        <f t="shared" si="280"/>
        <v>76</v>
      </c>
      <c r="E776" s="74">
        <f t="shared" si="272"/>
        <v>1.0137046828508265</v>
      </c>
      <c r="F776" s="74">
        <f t="shared" si="273"/>
        <v>1.3264502315156903</v>
      </c>
      <c r="G776" s="74">
        <f t="shared" si="274"/>
        <v>94.2922998743363</v>
      </c>
      <c r="H776" s="74">
        <f t="shared" si="275"/>
        <v>28.2614098159386</v>
      </c>
      <c r="I776" s="74">
        <f t="shared" si="284"/>
        <v>37.7420264303865</v>
      </c>
      <c r="J776" s="74">
        <f t="shared" si="285"/>
        <v>28.2614098159386</v>
      </c>
      <c r="K776" s="74">
        <f t="shared" si="286"/>
        <v>38.55385016881386</v>
      </c>
      <c r="L776" s="74">
        <f t="shared" si="276"/>
        <v>1.914452835063258</v>
      </c>
      <c r="M776" s="74">
        <f t="shared" si="287"/>
        <v>3.3876027589624966</v>
      </c>
      <c r="N776" s="74">
        <f t="shared" si="277"/>
        <v>0.34644986482172163</v>
      </c>
      <c r="O776" s="74">
        <f t="shared" si="278"/>
        <v>59.988952048947795</v>
      </c>
      <c r="P776" s="74">
        <f t="shared" si="279"/>
        <v>0.3013066093968312</v>
      </c>
    </row>
    <row r="777" spans="2:16" ht="13.5">
      <c r="B777" s="74">
        <f t="shared" si="281"/>
        <v>42.980219849706494</v>
      </c>
      <c r="C777" s="70">
        <f t="shared" si="288"/>
        <v>58.081</v>
      </c>
      <c r="D777" s="70">
        <f t="shared" si="280"/>
        <v>77</v>
      </c>
      <c r="E777" s="74">
        <f t="shared" si="272"/>
        <v>1.0137046828508265</v>
      </c>
      <c r="F777" s="74">
        <f t="shared" si="273"/>
        <v>1.3439035240356338</v>
      </c>
      <c r="G777" s="74">
        <f t="shared" si="274"/>
        <v>94.2922998743363</v>
      </c>
      <c r="H777" s="74">
        <f t="shared" si="275"/>
        <v>26.34648681054474</v>
      </c>
      <c r="I777" s="74">
        <f aca="true" t="shared" si="289" ref="I777:I790">(0.5*$D$3*$D$9+$D$6)*$D$9/TAN(F777)</f>
        <v>34.9476724316321</v>
      </c>
      <c r="J777" s="74">
        <f t="shared" si="285"/>
        <v>26.34648681054474</v>
      </c>
      <c r="K777" s="74">
        <f aca="true" t="shared" si="290" ref="K777:K790">0.5*$D$3*$D$8^2*(1/TAN(F777)-1/TAN($D$16))+$G$19</f>
        <v>37.4577988480803</v>
      </c>
      <c r="L777" s="74">
        <f t="shared" si="276"/>
        <v>1.9319061275832015</v>
      </c>
      <c r="M777" s="74">
        <f t="shared" si="287"/>
        <v>3.409415373203253</v>
      </c>
      <c r="N777" s="74">
        <f t="shared" si="277"/>
        <v>0.2894370209242849</v>
      </c>
      <c r="O777" s="74">
        <f t="shared" si="278"/>
        <v>58.768034884558624</v>
      </c>
      <c r="P777" s="74">
        <f t="shared" si="279"/>
        <v>0.3092712018313652</v>
      </c>
    </row>
    <row r="778" spans="2:16" ht="13.5">
      <c r="B778" s="74">
        <f t="shared" si="281"/>
        <v>42.77832720036377</v>
      </c>
      <c r="C778" s="70">
        <f t="shared" si="288"/>
        <v>58.081</v>
      </c>
      <c r="D778" s="70">
        <f t="shared" si="280"/>
        <v>78</v>
      </c>
      <c r="E778" s="74">
        <f t="shared" si="272"/>
        <v>1.0137046828508265</v>
      </c>
      <c r="F778" s="74">
        <f t="shared" si="273"/>
        <v>1.361356816555577</v>
      </c>
      <c r="G778" s="74">
        <f t="shared" si="274"/>
        <v>94.2922998743363</v>
      </c>
      <c r="H778" s="74">
        <f t="shared" si="275"/>
        <v>24.40614891650218</v>
      </c>
      <c r="I778" s="74">
        <f t="shared" si="289"/>
        <v>32.17574952279962</v>
      </c>
      <c r="J778" s="74">
        <f t="shared" si="285"/>
        <v>24.40614891650218</v>
      </c>
      <c r="K778" s="74">
        <f t="shared" si="290"/>
        <v>36.370545849157565</v>
      </c>
      <c r="L778" s="74">
        <f t="shared" si="276"/>
        <v>1.9493594201031446</v>
      </c>
      <c r="M778" s="74">
        <f t="shared" si="287"/>
        <v>3.4325630767730444</v>
      </c>
      <c r="N778" s="74">
        <f t="shared" si="277"/>
        <v>0.23166750165393885</v>
      </c>
      <c r="O778" s="74">
        <f t="shared" si="278"/>
        <v>57.563917198620196</v>
      </c>
      <c r="P778" s="74">
        <f t="shared" si="279"/>
        <v>0.3186375561002248</v>
      </c>
    </row>
    <row r="779" spans="2:16" ht="13.5">
      <c r="B779" s="74">
        <f t="shared" si="281"/>
        <v>42.54639884647162</v>
      </c>
      <c r="C779" s="70">
        <f t="shared" si="288"/>
        <v>58.081</v>
      </c>
      <c r="D779" s="70">
        <f t="shared" si="280"/>
        <v>79</v>
      </c>
      <c r="E779" s="74">
        <f t="shared" si="272"/>
        <v>1.0137046828508265</v>
      </c>
      <c r="F779" s="74">
        <f t="shared" si="273"/>
        <v>1.3788101090755203</v>
      </c>
      <c r="G779" s="74">
        <f t="shared" si="274"/>
        <v>94.2922998743363</v>
      </c>
      <c r="H779" s="74">
        <f t="shared" si="275"/>
        <v>22.438680258289008</v>
      </c>
      <c r="I779" s="74">
        <f t="shared" si="289"/>
        <v>29.424319295722153</v>
      </c>
      <c r="J779" s="74">
        <f t="shared" si="285"/>
        <v>22.438680258289008</v>
      </c>
      <c r="K779" s="74">
        <f t="shared" si="290"/>
        <v>35.29133085505204</v>
      </c>
      <c r="L779" s="74">
        <f t="shared" si="276"/>
        <v>1.9668127126230877</v>
      </c>
      <c r="M779" s="74">
        <f t="shared" si="287"/>
        <v>3.4570875053272205</v>
      </c>
      <c r="N779" s="74">
        <f t="shared" si="277"/>
        <v>0.17309022039101127</v>
      </c>
      <c r="O779" s="74">
        <f t="shared" si="278"/>
        <v>56.374531291775774</v>
      </c>
      <c r="P779" s="74">
        <f t="shared" si="279"/>
        <v>0.32943487782640857</v>
      </c>
    </row>
    <row r="780" spans="2:16" ht="13.5">
      <c r="B780" s="74">
        <f t="shared" si="281"/>
        <v>42.28398382559571</v>
      </c>
      <c r="C780" s="70">
        <f t="shared" si="288"/>
        <v>58.081</v>
      </c>
      <c r="D780" s="70">
        <f t="shared" si="280"/>
        <v>80</v>
      </c>
      <c r="E780" s="74">
        <f t="shared" si="272"/>
        <v>1.0137046828508265</v>
      </c>
      <c r="F780" s="74">
        <f t="shared" si="273"/>
        <v>1.3962634015954636</v>
      </c>
      <c r="G780" s="74">
        <f t="shared" si="274"/>
        <v>94.2922998743363</v>
      </c>
      <c r="H780" s="74">
        <f t="shared" si="275"/>
        <v>20.442283082501756</v>
      </c>
      <c r="I780" s="74">
        <f t="shared" si="289"/>
        <v>26.691496704743898</v>
      </c>
      <c r="J780" s="74">
        <f t="shared" si="285"/>
        <v>20.442283082501756</v>
      </c>
      <c r="K780" s="74">
        <f t="shared" si="290"/>
        <v>34.21941447956511</v>
      </c>
      <c r="L780" s="74">
        <f t="shared" si="276"/>
        <v>1.9842660051430312</v>
      </c>
      <c r="M780" s="74">
        <f t="shared" si="287"/>
        <v>3.483033492591896</v>
      </c>
      <c r="N780" s="74">
        <f t="shared" si="277"/>
        <v>0.1136516527724497</v>
      </c>
      <c r="O780" s="74">
        <f t="shared" si="278"/>
        <v>55.197820707940814</v>
      </c>
      <c r="P780" s="74">
        <f t="shared" si="279"/>
        <v>0.3416970929337077</v>
      </c>
    </row>
    <row r="781" spans="2:16" ht="13.5">
      <c r="B781" s="74">
        <f t="shared" si="281"/>
        <v>41.99054157643136</v>
      </c>
      <c r="C781" s="70">
        <f t="shared" si="288"/>
        <v>58.081</v>
      </c>
      <c r="D781" s="70">
        <f t="shared" si="280"/>
        <v>81</v>
      </c>
      <c r="E781" s="74">
        <f t="shared" si="272"/>
        <v>1.0137046828508265</v>
      </c>
      <c r="F781" s="74">
        <f t="shared" si="273"/>
        <v>1.413716694115407</v>
      </c>
      <c r="G781" s="74">
        <f t="shared" si="274"/>
        <v>94.2922998743363</v>
      </c>
      <c r="H781" s="74">
        <f t="shared" si="275"/>
        <v>18.415070572518374</v>
      </c>
      <c r="I781" s="74">
        <f t="shared" si="289"/>
        <v>23.97544465412669</v>
      </c>
      <c r="J781" s="74">
        <f t="shared" si="285"/>
        <v>18.415070572518374</v>
      </c>
      <c r="K781" s="74">
        <f t="shared" si="290"/>
        <v>33.15407614426935</v>
      </c>
      <c r="L781" s="74">
        <f t="shared" si="276"/>
        <v>2.0017192976629743</v>
      </c>
      <c r="M781" s="74">
        <f t="shared" si="287"/>
        <v>3.510449285294637</v>
      </c>
      <c r="N781" s="74">
        <f t="shared" si="277"/>
        <v>0.053295622763378</v>
      </c>
      <c r="O781" s="74">
        <f t="shared" si="278"/>
        <v>54.031731050507815</v>
      </c>
      <c r="P781" s="74">
        <f t="shared" si="279"/>
        <v>0.355462438239222</v>
      </c>
    </row>
    <row r="782" spans="2:16" ht="13.5">
      <c r="B782" s="74">
        <f t="shared" si="281"/>
        <v>43.51785709425893</v>
      </c>
      <c r="C782" s="70">
        <f t="shared" si="288"/>
        <v>58.081</v>
      </c>
      <c r="D782" s="70">
        <f t="shared" si="280"/>
        <v>82</v>
      </c>
      <c r="E782" s="74">
        <f t="shared" si="272"/>
        <v>1.0137046828508265</v>
      </c>
      <c r="F782" s="74">
        <f t="shared" si="273"/>
        <v>1.43116998663535</v>
      </c>
      <c r="G782" s="74">
        <f t="shared" si="274"/>
        <v>94.2922998743363</v>
      </c>
      <c r="H782" s="74">
        <f t="shared" si="275"/>
        <v>21.274368853074545</v>
      </c>
      <c r="I782" s="74">
        <f t="shared" si="289"/>
        <v>21.274368853074545</v>
      </c>
      <c r="J782" s="74">
        <f t="shared" si="285"/>
        <v>16.355059041525283</v>
      </c>
      <c r="K782" s="74">
        <f t="shared" si="290"/>
        <v>32.09461206045451</v>
      </c>
      <c r="L782" s="74">
        <f t="shared" si="276"/>
        <v>2.0191725901829174</v>
      </c>
      <c r="M782" s="74">
        <f t="shared" si="287"/>
        <v>3.539386779747792</v>
      </c>
      <c r="N782" s="74">
        <f t="shared" si="277"/>
        <v>-0.008036929779261789</v>
      </c>
      <c r="O782" s="74">
        <f t="shared" si="278"/>
        <v>55.224953333540036</v>
      </c>
      <c r="P782" s="74">
        <f t="shared" si="279"/>
        <v>0.2844885711869109</v>
      </c>
    </row>
    <row r="783" spans="2:16" ht="13.5">
      <c r="B783" s="74">
        <f t="shared" si="281"/>
        <v>42.95427150164451</v>
      </c>
      <c r="C783" s="70">
        <f t="shared" si="288"/>
        <v>58.081</v>
      </c>
      <c r="D783" s="70">
        <f t="shared" si="280"/>
        <v>83</v>
      </c>
      <c r="E783" s="74">
        <f t="shared" si="272"/>
        <v>1.0137046828508265</v>
      </c>
      <c r="F783" s="74">
        <f t="shared" si="273"/>
        <v>1.4486232791552935</v>
      </c>
      <c r="G783" s="74">
        <f t="shared" si="274"/>
        <v>94.2922998743363</v>
      </c>
      <c r="H783" s="74">
        <f t="shared" si="275"/>
        <v>18.586512906677186</v>
      </c>
      <c r="I783" s="74">
        <f t="shared" si="289"/>
        <v>18.586512906677186</v>
      </c>
      <c r="J783" s="74">
        <f t="shared" si="285"/>
        <v>14.26015943222883</v>
      </c>
      <c r="K783" s="74">
        <f t="shared" si="290"/>
        <v>31.040333303609955</v>
      </c>
      <c r="L783" s="74">
        <f t="shared" si="276"/>
        <v>2.036625882702861</v>
      </c>
      <c r="M783" s="74">
        <f t="shared" si="287"/>
        <v>3.569901782381449</v>
      </c>
      <c r="N783" s="74">
        <f t="shared" si="277"/>
        <v>-0.0704082021850964</v>
      </c>
      <c r="O783" s="74">
        <f t="shared" si="278"/>
        <v>53.78457501733286</v>
      </c>
      <c r="P783" s="74">
        <f t="shared" si="279"/>
        <v>0.31047325759114147</v>
      </c>
    </row>
    <row r="784" spans="2:16" ht="13.5">
      <c r="B784" s="74">
        <f t="shared" si="281"/>
        <v>42.37135193911455</v>
      </c>
      <c r="C784" s="70">
        <f t="shared" si="288"/>
        <v>58.081</v>
      </c>
      <c r="D784" s="70">
        <f t="shared" si="280"/>
        <v>84</v>
      </c>
      <c r="E784" s="74">
        <f t="shared" si="272"/>
        <v>1.0137046828508265</v>
      </c>
      <c r="F784" s="74">
        <f t="shared" si="273"/>
        <v>1.4660765716752369</v>
      </c>
      <c r="G784" s="74">
        <f t="shared" si="274"/>
        <v>94.2922998743363</v>
      </c>
      <c r="H784" s="74">
        <f t="shared" si="275"/>
        <v>15.910153613341771</v>
      </c>
      <c r="I784" s="74">
        <f t="shared" si="289"/>
        <v>15.910153613341771</v>
      </c>
      <c r="J784" s="74">
        <f t="shared" si="285"/>
        <v>12.128168042573405</v>
      </c>
      <c r="K784" s="74">
        <f t="shared" si="290"/>
        <v>29.990563968899536</v>
      </c>
      <c r="L784" s="74">
        <f t="shared" si="276"/>
        <v>2.0540791752228045</v>
      </c>
      <c r="M784" s="74">
        <f t="shared" si="287"/>
        <v>3.602054296824678</v>
      </c>
      <c r="N784" s="74">
        <f t="shared" si="277"/>
        <v>-0.1338838050927462</v>
      </c>
      <c r="O784" s="74">
        <f t="shared" si="278"/>
        <v>52.37387129531311</v>
      </c>
      <c r="P784" s="74">
        <f t="shared" si="279"/>
        <v>0.33760934594308323</v>
      </c>
    </row>
    <row r="785" spans="2:16" ht="13.5">
      <c r="B785" s="74">
        <f t="shared" si="281"/>
        <v>41.76902686930443</v>
      </c>
      <c r="C785" s="70">
        <f t="shared" si="288"/>
        <v>58.081</v>
      </c>
      <c r="D785" s="70">
        <f t="shared" si="280"/>
        <v>85</v>
      </c>
      <c r="E785" s="74">
        <f t="shared" si="272"/>
        <v>1.0137046828508265</v>
      </c>
      <c r="F785" s="74">
        <f t="shared" si="273"/>
        <v>1.4835298641951802</v>
      </c>
      <c r="G785" s="74">
        <f t="shared" si="274"/>
        <v>94.2922998743363</v>
      </c>
      <c r="H785" s="74">
        <f t="shared" si="275"/>
        <v>13.24359644123674</v>
      </c>
      <c r="I785" s="74">
        <f t="shared" si="289"/>
        <v>13.24359644123674</v>
      </c>
      <c r="J785" s="74">
        <f t="shared" si="285"/>
        <v>9.956756386451493</v>
      </c>
      <c r="K785" s="74">
        <f t="shared" si="290"/>
        <v>28.944639396851734</v>
      </c>
      <c r="L785" s="74">
        <f t="shared" si="276"/>
        <v>2.0715324677427476</v>
      </c>
      <c r="M785" s="74">
        <f t="shared" si="287"/>
        <v>3.6359088404790922</v>
      </c>
      <c r="N785" s="74">
        <f t="shared" si="277"/>
        <v>-0.1985330643260647</v>
      </c>
      <c r="O785" s="74">
        <f t="shared" si="278"/>
        <v>50.99056659934133</v>
      </c>
      <c r="P785" s="74">
        <f t="shared" si="279"/>
        <v>0.36588806810307584</v>
      </c>
    </row>
    <row r="786" spans="2:16" ht="13.5">
      <c r="B786" s="74">
        <f t="shared" si="281"/>
        <v>41.147173964653796</v>
      </c>
      <c r="C786" s="70">
        <f t="shared" si="288"/>
        <v>58.081</v>
      </c>
      <c r="D786" s="70">
        <f t="shared" si="280"/>
        <v>86</v>
      </c>
      <c r="E786" s="74">
        <f t="shared" si="272"/>
        <v>1.0137046828508265</v>
      </c>
      <c r="F786" s="74">
        <f t="shared" si="273"/>
        <v>1.5009831567151233</v>
      </c>
      <c r="G786" s="74">
        <f t="shared" si="274"/>
        <v>94.2922998743363</v>
      </c>
      <c r="H786" s="74">
        <f t="shared" si="275"/>
        <v>10.585171157948913</v>
      </c>
      <c r="I786" s="74">
        <f t="shared" si="289"/>
        <v>10.585171157948913</v>
      </c>
      <c r="J786" s="74">
        <f t="shared" si="285"/>
        <v>7.743460086500027</v>
      </c>
      <c r="K786" s="74">
        <f t="shared" si="290"/>
        <v>27.90190445914594</v>
      </c>
      <c r="L786" s="74">
        <f t="shared" si="276"/>
        <v>2.0889857602626907</v>
      </c>
      <c r="M786" s="74">
        <f t="shared" si="287"/>
        <v>3.6715347939252476</v>
      </c>
      <c r="N786" s="74">
        <f t="shared" si="277"/>
        <v>-0.26442935158799213</v>
      </c>
      <c r="O786" s="74">
        <f t="shared" si="278"/>
        <v>49.63245976637801</v>
      </c>
      <c r="P786" s="74">
        <f t="shared" si="279"/>
        <v>0.3952940565678343</v>
      </c>
    </row>
    <row r="787" spans="2:16" ht="13.5">
      <c r="B787" s="74">
        <f t="shared" si="281"/>
        <v>40.50562074528879</v>
      </c>
      <c r="C787" s="70">
        <f t="shared" si="288"/>
        <v>58.081</v>
      </c>
      <c r="D787" s="70">
        <f t="shared" si="280"/>
        <v>87</v>
      </c>
      <c r="E787" s="74">
        <f t="shared" si="272"/>
        <v>1.0137046828508265</v>
      </c>
      <c r="F787" s="74">
        <f t="shared" si="273"/>
        <v>1.5184364492350666</v>
      </c>
      <c r="G787" s="74">
        <f t="shared" si="274"/>
        <v>94.2922998743363</v>
      </c>
      <c r="H787" s="74">
        <f t="shared" si="275"/>
        <v>7.933227588970383</v>
      </c>
      <c r="I787" s="74">
        <f t="shared" si="289"/>
        <v>7.933227588970383</v>
      </c>
      <c r="J787" s="74">
        <f t="shared" si="285"/>
        <v>5.4856666823648865</v>
      </c>
      <c r="K787" s="74">
        <f t="shared" si="290"/>
        <v>26.861711894930572</v>
      </c>
      <c r="L787" s="74">
        <f t="shared" si="276"/>
        <v>2.106439052782634</v>
      </c>
      <c r="M787" s="74">
        <f t="shared" si="287"/>
        <v>3.7090067869585464</v>
      </c>
      <c r="N787" s="74">
        <f t="shared" si="277"/>
        <v>-0.3316504474440855</v>
      </c>
      <c r="O787" s="74">
        <f t="shared" si="278"/>
        <v>48.29741533021661</v>
      </c>
      <c r="P787" s="74">
        <f t="shared" si="279"/>
        <v>0.4258043501938569</v>
      </c>
    </row>
    <row r="788" spans="2:16" ht="13.5">
      <c r="B788" s="74">
        <f t="shared" si="281"/>
        <v>39.84414493860474</v>
      </c>
      <c r="C788" s="70">
        <f t="shared" si="288"/>
        <v>58.081</v>
      </c>
      <c r="D788" s="70">
        <f t="shared" si="280"/>
        <v>88</v>
      </c>
      <c r="E788" s="74">
        <f t="shared" si="272"/>
        <v>1.0137046828508265</v>
      </c>
      <c r="F788" s="74">
        <f t="shared" si="273"/>
        <v>1.53588974175501</v>
      </c>
      <c r="G788" s="74">
        <f t="shared" si="274"/>
        <v>94.2922998743363</v>
      </c>
      <c r="H788" s="74">
        <f t="shared" si="275"/>
        <v>5.286131481813329</v>
      </c>
      <c r="I788" s="74">
        <f t="shared" si="289"/>
        <v>5.286131481813329</v>
      </c>
      <c r="J788" s="74">
        <f t="shared" si="285"/>
        <v>3.180602221976846</v>
      </c>
      <c r="K788" s="74">
        <f t="shared" si="290"/>
        <v>25.823420688572526</v>
      </c>
      <c r="L788" s="74">
        <f t="shared" si="276"/>
        <v>2.1238923453025773</v>
      </c>
      <c r="M788" s="74">
        <f t="shared" si="287"/>
        <v>3.7484051255774977</v>
      </c>
      <c r="N788" s="74">
        <f t="shared" si="277"/>
        <v>-0.4002789405393484</v>
      </c>
      <c r="O788" s="74">
        <f t="shared" si="278"/>
        <v>46.983355212031896</v>
      </c>
      <c r="P788" s="74">
        <f t="shared" si="279"/>
        <v>0.457387462076499</v>
      </c>
    </row>
    <row r="789" spans="2:16" ht="13.5">
      <c r="B789" s="74">
        <f t="shared" si="281"/>
        <v>39.16247456812196</v>
      </c>
      <c r="C789" s="70">
        <f t="shared" si="288"/>
        <v>58.081</v>
      </c>
      <c r="D789" s="70">
        <f t="shared" si="280"/>
        <v>89</v>
      </c>
      <c r="E789" s="74">
        <f t="shared" si="272"/>
        <v>1.0137046828508265</v>
      </c>
      <c r="F789" s="74">
        <f t="shared" si="273"/>
        <v>1.5533430342749535</v>
      </c>
      <c r="G789" s="74">
        <f t="shared" si="274"/>
        <v>94.2922998743363</v>
      </c>
      <c r="H789" s="74">
        <f t="shared" si="275"/>
        <v>2.642260453508916</v>
      </c>
      <c r="I789" s="74">
        <f t="shared" si="289"/>
        <v>2.642260453508916</v>
      </c>
      <c r="J789" s="74">
        <f t="shared" si="285"/>
        <v>0.8253164850416557</v>
      </c>
      <c r="K789" s="74">
        <f t="shared" si="290"/>
        <v>24.78639448011291</v>
      </c>
      <c r="L789" s="74">
        <f t="shared" si="276"/>
        <v>2.141345637822521</v>
      </c>
      <c r="M789" s="74">
        <f t="shared" si="287"/>
        <v>3.7898162648555984</v>
      </c>
      <c r="N789" s="74">
        <f t="shared" si="277"/>
        <v>-0.47040266753803595</v>
      </c>
      <c r="O789" s="74">
        <f t="shared" si="278"/>
        <v>45.688250748767096</v>
      </c>
      <c r="P789" s="74">
        <f t="shared" si="279"/>
        <v>0.49000255505630796</v>
      </c>
    </row>
    <row r="790" spans="2:16" ht="13.5">
      <c r="B790" s="74">
        <f t="shared" si="281"/>
        <v>38.460287776632065</v>
      </c>
      <c r="C790" s="70">
        <f t="shared" si="288"/>
        <v>58.081</v>
      </c>
      <c r="D790" s="70">
        <f t="shared" si="280"/>
        <v>90</v>
      </c>
      <c r="E790" s="74">
        <f t="shared" si="272"/>
        <v>1.0137046828508265</v>
      </c>
      <c r="F790" s="74">
        <f t="shared" si="273"/>
        <v>1.5707963267948966</v>
      </c>
      <c r="G790" s="74">
        <f t="shared" si="274"/>
        <v>94.2922998743363</v>
      </c>
      <c r="H790" s="74">
        <f t="shared" si="275"/>
        <v>9.272842368089618E-15</v>
      </c>
      <c r="I790" s="74">
        <f t="shared" si="289"/>
        <v>9.272842368089618E-15</v>
      </c>
      <c r="J790" s="74">
        <f t="shared" si="285"/>
        <v>-1.5833333333333073</v>
      </c>
      <c r="K790" s="74">
        <f t="shared" si="290"/>
        <v>23.750000000000007</v>
      </c>
      <c r="L790" s="74">
        <f t="shared" si="276"/>
        <v>2.158798930342464</v>
      </c>
      <c r="M790" s="74">
        <f t="shared" si="287"/>
        <v>3.8333333333333317</v>
      </c>
      <c r="N790" s="74">
        <f t="shared" si="277"/>
        <v>-0.5421151989096857</v>
      </c>
      <c r="O790" s="74">
        <f t="shared" si="278"/>
        <v>44.410115001897985</v>
      </c>
      <c r="P790" s="74">
        <f t="shared" si="279"/>
        <v>0.5235987755982985</v>
      </c>
    </row>
    <row r="791" spans="1:16" ht="15">
      <c r="A791" s="70" t="s">
        <v>515</v>
      </c>
      <c r="B791" s="70">
        <f>MAX(B605:B790)</f>
        <v>43.63158342904374</v>
      </c>
      <c r="C791" s="73">
        <f>VLOOKUP(B791,B605:P790,2,FALSE)</f>
        <v>56.545</v>
      </c>
      <c r="D791" s="73">
        <f>VLOOKUP(B791,B605:P790,3,FALSE)</f>
        <v>71</v>
      </c>
      <c r="E791" s="74"/>
      <c r="F791" s="74"/>
      <c r="G791" s="74"/>
      <c r="H791" s="74"/>
      <c r="I791" s="74"/>
      <c r="J791" s="74"/>
      <c r="K791" s="74"/>
      <c r="L791" s="74"/>
      <c r="M791" s="74"/>
      <c r="N791" s="74"/>
      <c r="O791" s="74"/>
      <c r="P791" s="74"/>
    </row>
    <row r="792" spans="2:16" ht="13.5">
      <c r="B792" s="74"/>
      <c r="E792" s="74"/>
      <c r="F792" s="74"/>
      <c r="G792" s="74"/>
      <c r="H792" s="74"/>
      <c r="I792" s="74"/>
      <c r="J792" s="74"/>
      <c r="K792" s="74"/>
      <c r="L792" s="74"/>
      <c r="M792" s="74"/>
      <c r="N792" s="74"/>
      <c r="O792" s="74"/>
      <c r="P792" s="74"/>
    </row>
    <row r="793" spans="3:11" ht="13.5">
      <c r="C793" s="74" t="s">
        <v>516</v>
      </c>
      <c r="D793" s="74">
        <f>C791-J600</f>
        <v>56.161</v>
      </c>
      <c r="E793" s="74" t="s">
        <v>473</v>
      </c>
      <c r="F793" s="74" t="s">
        <v>498</v>
      </c>
      <c r="G793" s="74">
        <f>C791+J600</f>
        <v>56.929</v>
      </c>
      <c r="H793" s="74" t="s">
        <v>473</v>
      </c>
      <c r="I793" s="70" t="s">
        <v>499</v>
      </c>
      <c r="J793" s="70">
        <f>(G793-D793)/5</f>
        <v>0.15360000000000013</v>
      </c>
      <c r="K793" s="74" t="s">
        <v>473</v>
      </c>
    </row>
    <row r="794" spans="3:11" ht="13.5">
      <c r="C794" s="74" t="s">
        <v>500</v>
      </c>
      <c r="D794" s="74">
        <f>$G$21</f>
        <v>60</v>
      </c>
      <c r="E794" s="74" t="s">
        <v>473</v>
      </c>
      <c r="F794" s="74" t="s">
        <v>501</v>
      </c>
      <c r="G794" s="74">
        <v>90</v>
      </c>
      <c r="H794" s="74" t="s">
        <v>473</v>
      </c>
      <c r="I794" s="70" t="s">
        <v>468</v>
      </c>
      <c r="J794" s="70">
        <f>(G794-D794)/30</f>
        <v>1</v>
      </c>
      <c r="K794" s="74" t="s">
        <v>473</v>
      </c>
    </row>
    <row r="796" spans="9:11" ht="13.5">
      <c r="I796" s="74" t="s">
        <v>502</v>
      </c>
      <c r="J796" s="74" t="s">
        <v>423</v>
      </c>
      <c r="K796" s="74" t="s">
        <v>424</v>
      </c>
    </row>
    <row r="797" spans="2:16" ht="13.5">
      <c r="B797" s="70" t="s">
        <v>503</v>
      </c>
      <c r="C797" s="74" t="s">
        <v>504</v>
      </c>
      <c r="D797" s="74" t="s">
        <v>505</v>
      </c>
      <c r="E797" s="74" t="s">
        <v>506</v>
      </c>
      <c r="F797" s="74" t="s">
        <v>507</v>
      </c>
      <c r="G797" s="70" t="s">
        <v>508</v>
      </c>
      <c r="H797" s="70" t="s">
        <v>509</v>
      </c>
      <c r="I797" s="74" t="str">
        <f>"ω2&gt;ωc"</f>
        <v>ω2&gt;ωc</v>
      </c>
      <c r="J797" s="75" t="str">
        <f>"ωb&lt;ω2&lt;ωc"</f>
        <v>ωb&lt;ω2&lt;ωc</v>
      </c>
      <c r="K797" s="74" t="str">
        <f>"ω2&lt;ωb"</f>
        <v>ω2&lt;ωb</v>
      </c>
      <c r="L797" s="74" t="s">
        <v>510</v>
      </c>
      <c r="M797" s="74" t="s">
        <v>467</v>
      </c>
      <c r="N797" s="74" t="s">
        <v>512</v>
      </c>
      <c r="O797" s="70" t="s">
        <v>513</v>
      </c>
      <c r="P797" s="70" t="s">
        <v>514</v>
      </c>
    </row>
    <row r="798" spans="2:16" ht="13.5">
      <c r="B798" s="74">
        <f>O798*SIN(F798-F$4)</f>
        <v>41.96045925194627</v>
      </c>
      <c r="C798" s="74">
        <f>D793</f>
        <v>56.161</v>
      </c>
      <c r="D798" s="74">
        <f>D794</f>
        <v>60</v>
      </c>
      <c r="E798" s="74">
        <f>C798*PI()/180</f>
        <v>0.9801943612125354</v>
      </c>
      <c r="F798" s="74">
        <f>D798*PI()/180</f>
        <v>1.0471975511965976</v>
      </c>
      <c r="G798" s="74">
        <f>(0.5*$D$3*$D$9+$D$5)*$D$9/TAN(E798)</f>
        <v>101.48601230194029</v>
      </c>
      <c r="H798" s="74">
        <f>IF(D798&gt;$F$17,I798,IF(D798&lt;$F$16,K798,J798))</f>
        <v>56.61327536344993</v>
      </c>
      <c r="I798" s="74">
        <f aca="true" t="shared" si="291" ref="I798:I819">(0.5*$D$3*$D$9+$D$6)*$D$9/TAN(F798)</f>
        <v>87.39639699857963</v>
      </c>
      <c r="J798" s="74">
        <f aca="true" t="shared" si="292" ref="J798:J829">0.5*$J$18*N798*$D$3+$G$18</f>
        <v>56.61327536344993</v>
      </c>
      <c r="K798" s="74">
        <f aca="true" t="shared" si="293" ref="K798:K819">0.5*$D$3*$D$8^2*(1/TAN(F798)-1/TAN($D$16))+$G$19</f>
        <v>58.03017223313404</v>
      </c>
      <c r="L798" s="74">
        <f>F798+D$14</f>
        <v>1.6352001547441652</v>
      </c>
      <c r="M798" s="74">
        <f aca="true" t="shared" si="294" ref="M798:M829">J$18/SIN(L798)*SIN(J$19)</f>
        <v>3.196152422706631</v>
      </c>
      <c r="N798" s="74">
        <f>M798*SIN(D$17-F798)</f>
        <v>1.1905676074715958</v>
      </c>
      <c r="O798" s="74">
        <f>SIN(E798-F$4)/SIN(E798+F798-2*F$4)*(G798+H798)</f>
        <v>83.92091850389255</v>
      </c>
      <c r="P798" s="74">
        <f>ATAN((O798*COS(F798-F$4)-H798)/(O798*SIN(F798-F$4)))</f>
        <v>0.3656310920381898</v>
      </c>
    </row>
    <row r="799" spans="2:16" ht="13.5">
      <c r="B799" s="74">
        <f aca="true" t="shared" si="295" ref="B799:B855">O799*SIN(F799-F$4)</f>
        <v>42.27068767053849</v>
      </c>
      <c r="C799" s="70">
        <f>C798</f>
        <v>56.161</v>
      </c>
      <c r="D799" s="70">
        <f>D798+J794</f>
        <v>61</v>
      </c>
      <c r="E799" s="74">
        <f aca="true" t="shared" si="296" ref="E799:E862">C799*PI()/180</f>
        <v>0.9801943612125354</v>
      </c>
      <c r="F799" s="74">
        <f aca="true" t="shared" si="297" ref="F799:F862">D799*PI()/180</f>
        <v>1.064650843716541</v>
      </c>
      <c r="G799" s="74">
        <f aca="true" t="shared" si="298" ref="G799:G862">(0.5*$D$3*$D$9+$D$5)*$D$9/TAN(E799)</f>
        <v>101.48601230194029</v>
      </c>
      <c r="H799" s="74">
        <f aca="true" t="shared" si="299" ref="H799:H862">IF(D799&gt;$F$17,I799,IF(D799&lt;$F$16,K799,J799))</f>
        <v>54.91741842603781</v>
      </c>
      <c r="I799" s="74">
        <f t="shared" si="291"/>
        <v>83.90853266366291</v>
      </c>
      <c r="J799" s="74">
        <f t="shared" si="292"/>
        <v>54.91741842603781</v>
      </c>
      <c r="K799" s="74">
        <f t="shared" si="293"/>
        <v>56.662099930008154</v>
      </c>
      <c r="L799" s="74">
        <f aca="true" t="shared" si="300" ref="L799:L862">F799+D$14</f>
        <v>1.6526534472641083</v>
      </c>
      <c r="M799" s="74">
        <f t="shared" si="294"/>
        <v>3.200241894286732</v>
      </c>
      <c r="N799" s="74">
        <f aca="true" t="shared" si="301" ref="N799:N862">M799*SIN(D$17-F799)</f>
        <v>1.1400769994561701</v>
      </c>
      <c r="O799" s="74">
        <f aca="true" t="shared" si="302" ref="O799:O862">SIN(E799-F$4)/SIN(E799+F799-2*F$4)*(G799+H799)</f>
        <v>82.07293738025216</v>
      </c>
      <c r="P799" s="74">
        <f aca="true" t="shared" si="303" ref="P799:P862">ATAN((O799*COS(F799-F$4)-H799)/(O799*SIN(F799-F$4)))</f>
        <v>0.35005874805432813</v>
      </c>
    </row>
    <row r="800" spans="2:16" ht="13.5">
      <c r="B800" s="74">
        <f t="shared" si="295"/>
        <v>42.54633364583889</v>
      </c>
      <c r="C800" s="70">
        <f aca="true" t="shared" si="304" ref="C800:C828">C799</f>
        <v>56.161</v>
      </c>
      <c r="D800" s="70">
        <f>D799+J794</f>
        <v>62</v>
      </c>
      <c r="E800" s="74">
        <f t="shared" si="296"/>
        <v>0.9801943612125354</v>
      </c>
      <c r="F800" s="74">
        <f t="shared" si="297"/>
        <v>1.0821041362364843</v>
      </c>
      <c r="G800" s="74">
        <f t="shared" si="298"/>
        <v>101.48601230194029</v>
      </c>
      <c r="H800" s="74">
        <f t="shared" si="299"/>
        <v>53.21669751699319</v>
      </c>
      <c r="I800" s="74">
        <f t="shared" si="291"/>
        <v>80.48751521775635</v>
      </c>
      <c r="J800" s="74">
        <f t="shared" si="292"/>
        <v>53.21669751699319</v>
      </c>
      <c r="K800" s="74">
        <f t="shared" si="293"/>
        <v>55.3202475049003</v>
      </c>
      <c r="L800" s="74">
        <f t="shared" si="300"/>
        <v>1.6701067397840519</v>
      </c>
      <c r="M800" s="74">
        <f t="shared" si="294"/>
        <v>3.205319466443784</v>
      </c>
      <c r="N800" s="74">
        <f t="shared" si="301"/>
        <v>1.0894415768165406</v>
      </c>
      <c r="O800" s="74">
        <f t="shared" si="302"/>
        <v>80.28833167143601</v>
      </c>
      <c r="P800" s="74">
        <f t="shared" si="303"/>
        <v>0.3362654603505528</v>
      </c>
    </row>
    <row r="801" spans="2:16" ht="13.5">
      <c r="B801" s="74">
        <f t="shared" si="295"/>
        <v>42.78855985457301</v>
      </c>
      <c r="C801" s="70">
        <f t="shared" si="304"/>
        <v>56.161</v>
      </c>
      <c r="D801" s="70">
        <f>D800+J794</f>
        <v>63</v>
      </c>
      <c r="E801" s="74">
        <f t="shared" si="296"/>
        <v>0.9801943612125354</v>
      </c>
      <c r="F801" s="74">
        <f t="shared" si="297"/>
        <v>1.0995574287564276</v>
      </c>
      <c r="G801" s="74">
        <f t="shared" si="298"/>
        <v>101.48601230194029</v>
      </c>
      <c r="H801" s="74">
        <f t="shared" si="299"/>
        <v>51.51005054407396</v>
      </c>
      <c r="I801" s="74">
        <f t="shared" si="291"/>
        <v>77.12941491721917</v>
      </c>
      <c r="J801" s="74">
        <f t="shared" si="292"/>
        <v>51.51005054407396</v>
      </c>
      <c r="K801" s="74">
        <f t="shared" si="293"/>
        <v>54.00307356373172</v>
      </c>
      <c r="L801" s="74">
        <f t="shared" si="300"/>
        <v>1.687560032303995</v>
      </c>
      <c r="M801" s="74">
        <f t="shared" si="294"/>
        <v>3.2113929525108333</v>
      </c>
      <c r="N801" s="74">
        <f t="shared" si="301"/>
        <v>1.0386297179684278</v>
      </c>
      <c r="O801" s="74">
        <f t="shared" si="302"/>
        <v>78.56315303105741</v>
      </c>
      <c r="P801" s="74">
        <f t="shared" si="303"/>
        <v>0.3241821786924301</v>
      </c>
    </row>
    <row r="802" spans="2:16" ht="13.5">
      <c r="B802" s="74">
        <f t="shared" si="295"/>
        <v>42.9984055635903</v>
      </c>
      <c r="C802" s="70">
        <f t="shared" si="304"/>
        <v>56.161</v>
      </c>
      <c r="D802" s="70">
        <f>D801+J794</f>
        <v>64</v>
      </c>
      <c r="E802" s="74">
        <f t="shared" si="296"/>
        <v>0.9801943612125354</v>
      </c>
      <c r="F802" s="74">
        <f t="shared" si="297"/>
        <v>1.117010721276371</v>
      </c>
      <c r="G802" s="74">
        <f t="shared" si="298"/>
        <v>101.48601230194029</v>
      </c>
      <c r="H802" s="74">
        <f t="shared" si="299"/>
        <v>49.7964007486329</v>
      </c>
      <c r="I802" s="74">
        <f t="shared" si="291"/>
        <v>73.83052059415728</v>
      </c>
      <c r="J802" s="74">
        <f t="shared" si="292"/>
        <v>49.7964007486329</v>
      </c>
      <c r="K802" s="74">
        <f t="shared" si="293"/>
        <v>52.70912244609802</v>
      </c>
      <c r="L802" s="74">
        <f t="shared" si="300"/>
        <v>1.7050133248239385</v>
      </c>
      <c r="M802" s="74">
        <f t="shared" si="294"/>
        <v>3.21847173736185</v>
      </c>
      <c r="N802" s="74">
        <f t="shared" si="301"/>
        <v>0.9876093646658881</v>
      </c>
      <c r="O802" s="74">
        <f t="shared" si="302"/>
        <v>76.89368963145235</v>
      </c>
      <c r="P802" s="74">
        <f t="shared" si="303"/>
        <v>0.31374539593140066</v>
      </c>
    </row>
    <row r="803" spans="2:16" ht="13.5">
      <c r="B803" s="74">
        <f t="shared" si="295"/>
        <v>43.176794502716774</v>
      </c>
      <c r="C803" s="70">
        <f t="shared" si="304"/>
        <v>56.161</v>
      </c>
      <c r="D803" s="70">
        <f>D802+J794</f>
        <v>65</v>
      </c>
      <c r="E803" s="74">
        <f t="shared" si="296"/>
        <v>0.9801943612125354</v>
      </c>
      <c r="F803" s="74">
        <f t="shared" si="297"/>
        <v>1.1344640137963142</v>
      </c>
      <c r="G803" s="74">
        <f t="shared" si="298"/>
        <v>101.48601230194029</v>
      </c>
      <c r="H803" s="74">
        <f t="shared" si="299"/>
        <v>48.07465394252364</v>
      </c>
      <c r="I803" s="74">
        <f t="shared" si="291"/>
        <v>70.58732175321292</v>
      </c>
      <c r="J803" s="74">
        <f t="shared" si="292"/>
        <v>48.07465394252364</v>
      </c>
      <c r="K803" s="74">
        <f t="shared" si="293"/>
        <v>51.43701720295304</v>
      </c>
      <c r="L803" s="74">
        <f t="shared" si="300"/>
        <v>1.7224666173438816</v>
      </c>
      <c r="M803" s="74">
        <f t="shared" si="294"/>
        <v>3.2265668130425462</v>
      </c>
      <c r="N803" s="74">
        <f t="shared" si="301"/>
        <v>0.9363479397359457</v>
      </c>
      <c r="O803" s="74">
        <f t="shared" si="302"/>
        <v>75.2764440209522</v>
      </c>
      <c r="P803" s="74">
        <f t="shared" si="303"/>
        <v>0.3048976140526095</v>
      </c>
    </row>
    <row r="804" spans="2:16" ht="13.5">
      <c r="B804" s="74">
        <f t="shared" si="295"/>
        <v>43.32454176252795</v>
      </c>
      <c r="C804" s="70">
        <f t="shared" si="304"/>
        <v>56.161</v>
      </c>
      <c r="D804" s="70">
        <f>D803+J794</f>
        <v>66</v>
      </c>
      <c r="E804" s="74">
        <f t="shared" si="296"/>
        <v>0.9801943612125354</v>
      </c>
      <c r="F804" s="74">
        <f t="shared" si="297"/>
        <v>1.1519173063162575</v>
      </c>
      <c r="G804" s="74">
        <f t="shared" si="298"/>
        <v>101.48601230194029</v>
      </c>
      <c r="H804" s="74">
        <f t="shared" si="299"/>
        <v>46.34369565210348</v>
      </c>
      <c r="I804" s="74">
        <f t="shared" si="291"/>
        <v>67.39649223857965</v>
      </c>
      <c r="J804" s="74">
        <f t="shared" si="292"/>
        <v>46.34369565210348</v>
      </c>
      <c r="K804" s="74">
        <f t="shared" si="293"/>
        <v>50.18545319019432</v>
      </c>
      <c r="L804" s="74">
        <f t="shared" si="300"/>
        <v>1.7399199098638252</v>
      </c>
      <c r="M804" s="74">
        <f t="shared" si="294"/>
        <v>3.235690820800044</v>
      </c>
      <c r="N804" s="74">
        <f t="shared" si="301"/>
        <v>0.8848122620472225</v>
      </c>
      <c r="O804" s="74">
        <f t="shared" si="302"/>
        <v>73.70811294355221</v>
      </c>
      <c r="P804" s="74">
        <f t="shared" si="303"/>
        <v>0.2975876224631013</v>
      </c>
    </row>
    <row r="805" spans="2:16" ht="13.5">
      <c r="B805" s="74">
        <f t="shared" si="295"/>
        <v>43.44235980898827</v>
      </c>
      <c r="C805" s="70">
        <f t="shared" si="304"/>
        <v>56.161</v>
      </c>
      <c r="D805" s="70">
        <f>D804+J794</f>
        <v>67</v>
      </c>
      <c r="E805" s="74">
        <f t="shared" si="296"/>
        <v>0.9801943612125354</v>
      </c>
      <c r="F805" s="74">
        <f t="shared" si="297"/>
        <v>1.1693705988362006</v>
      </c>
      <c r="G805" s="74">
        <f t="shared" si="298"/>
        <v>101.48601230194029</v>
      </c>
      <c r="H805" s="74">
        <f t="shared" si="299"/>
        <v>44.602388153158174</v>
      </c>
      <c r="I805" s="74">
        <f t="shared" si="291"/>
        <v>64.25487530372895</v>
      </c>
      <c r="J805" s="74">
        <f t="shared" si="292"/>
        <v>44.602388153158174</v>
      </c>
      <c r="K805" s="74">
        <f t="shared" si="293"/>
        <v>48.95319221244529</v>
      </c>
      <c r="L805" s="74">
        <f t="shared" si="300"/>
        <v>1.7573732023837683</v>
      </c>
      <c r="M805" s="74">
        <f t="shared" si="294"/>
        <v>3.2458580998131934</v>
      </c>
      <c r="N805" s="74">
        <f t="shared" si="301"/>
        <v>0.8329684582310031</v>
      </c>
      <c r="O805" s="74">
        <f t="shared" si="302"/>
        <v>72.18556888370098</v>
      </c>
      <c r="P805" s="74">
        <f t="shared" si="303"/>
        <v>0.29177063705593326</v>
      </c>
    </row>
    <row r="806" spans="2:16" ht="13.5">
      <c r="B806" s="74">
        <f t="shared" si="295"/>
        <v>43.530863693542386</v>
      </c>
      <c r="C806" s="70">
        <f t="shared" si="304"/>
        <v>56.161</v>
      </c>
      <c r="D806" s="70">
        <f>D805+J794</f>
        <v>68</v>
      </c>
      <c r="E806" s="74">
        <f t="shared" si="296"/>
        <v>0.9801943612125354</v>
      </c>
      <c r="F806" s="74">
        <f t="shared" si="297"/>
        <v>1.1868238913561442</v>
      </c>
      <c r="G806" s="74">
        <f t="shared" si="298"/>
        <v>101.48601230194029</v>
      </c>
      <c r="H806" s="74">
        <f t="shared" si="299"/>
        <v>42.84956737955771</v>
      </c>
      <c r="I806" s="74">
        <f t="shared" si="291"/>
        <v>61.15946993579685</v>
      </c>
      <c r="J806" s="74">
        <f t="shared" si="292"/>
        <v>42.84956737955771</v>
      </c>
      <c r="K806" s="74">
        <f t="shared" si="293"/>
        <v>47.739057158962424</v>
      </c>
      <c r="L806" s="74">
        <f t="shared" si="300"/>
        <v>1.7748264949037118</v>
      </c>
      <c r="M806" s="74">
        <f t="shared" si="294"/>
        <v>3.2570847429771757</v>
      </c>
      <c r="N806" s="74">
        <f t="shared" si="301"/>
        <v>0.7807818706428962</v>
      </c>
      <c r="O806" s="74">
        <f t="shared" si="302"/>
        <v>70.70584312672226</v>
      </c>
      <c r="P806" s="74">
        <f t="shared" si="303"/>
        <v>0.2874083385026794</v>
      </c>
    </row>
    <row r="807" spans="2:16" ht="13.5">
      <c r="B807" s="74">
        <f t="shared" si="295"/>
        <v>43.59057552552918</v>
      </c>
      <c r="C807" s="70">
        <f t="shared" si="304"/>
        <v>56.161</v>
      </c>
      <c r="D807" s="70">
        <f>D806+J794</f>
        <v>69</v>
      </c>
      <c r="E807" s="74">
        <f t="shared" si="296"/>
        <v>0.9801943612125354</v>
      </c>
      <c r="F807" s="74">
        <f t="shared" si="297"/>
        <v>1.2042771838760873</v>
      </c>
      <c r="G807" s="74">
        <f t="shared" si="298"/>
        <v>101.48601230194029</v>
      </c>
      <c r="H807" s="74">
        <f t="shared" si="299"/>
        <v>41.08403968726031</v>
      </c>
      <c r="I807" s="74">
        <f t="shared" si="291"/>
        <v>58.107418303486085</v>
      </c>
      <c r="J807" s="74">
        <f t="shared" si="292"/>
        <v>41.08403968726031</v>
      </c>
      <c r="K807" s="74">
        <f t="shared" si="293"/>
        <v>46.54192708022782</v>
      </c>
      <c r="L807" s="74">
        <f t="shared" si="300"/>
        <v>1.792279787423655</v>
      </c>
      <c r="M807" s="74">
        <f t="shared" si="294"/>
        <v>3.2693886601519666</v>
      </c>
      <c r="N807" s="74">
        <f t="shared" si="301"/>
        <v>0.7282169610177962</v>
      </c>
      <c r="O807" s="74">
        <f t="shared" si="302"/>
        <v>69.26611014909437</v>
      </c>
      <c r="P807" s="74">
        <f t="shared" si="303"/>
        <v>0.28446883946882484</v>
      </c>
    </row>
    <row r="808" spans="2:16" ht="13.5">
      <c r="B808" s="74">
        <f t="shared" si="295"/>
        <v>43.62192826344598</v>
      </c>
      <c r="C808" s="70">
        <f t="shared" si="304"/>
        <v>56.161</v>
      </c>
      <c r="D808" s="70">
        <f>D807+J794</f>
        <v>70</v>
      </c>
      <c r="E808" s="74">
        <f t="shared" si="296"/>
        <v>0.9801943612125354</v>
      </c>
      <c r="F808" s="74">
        <f t="shared" si="297"/>
        <v>1.2217304763960306</v>
      </c>
      <c r="G808" s="74">
        <f t="shared" si="298"/>
        <v>101.48601230194029</v>
      </c>
      <c r="H808" s="74">
        <f t="shared" si="299"/>
        <v>39.30457845389725</v>
      </c>
      <c r="I808" s="74">
        <f t="shared" si="291"/>
        <v>55.09599421204639</v>
      </c>
      <c r="J808" s="74">
        <f t="shared" si="292"/>
        <v>39.30457845389725</v>
      </c>
      <c r="K808" s="74">
        <f t="shared" si="293"/>
        <v>45.360732659555765</v>
      </c>
      <c r="L808" s="74">
        <f t="shared" si="300"/>
        <v>1.809733079943598</v>
      </c>
      <c r="M808" s="74">
        <f t="shared" si="294"/>
        <v>3.2827896493451227</v>
      </c>
      <c r="N808" s="74">
        <f t="shared" si="301"/>
        <v>0.6752372092296027</v>
      </c>
      <c r="O808" s="74">
        <f t="shared" si="302"/>
        <v>67.86367317303856</v>
      </c>
      <c r="P808" s="74">
        <f t="shared" si="303"/>
        <v>0.2829266029934345</v>
      </c>
    </row>
    <row r="809" spans="2:16" ht="13.5">
      <c r="B809" s="74">
        <f t="shared" si="295"/>
        <v>43.62526887237851</v>
      </c>
      <c r="C809" s="70">
        <f t="shared" si="304"/>
        <v>56.161</v>
      </c>
      <c r="D809" s="70">
        <f>D808+J794</f>
        <v>71</v>
      </c>
      <c r="E809" s="74">
        <f t="shared" si="296"/>
        <v>0.9801943612125354</v>
      </c>
      <c r="F809" s="74">
        <f t="shared" si="297"/>
        <v>1.239183768915974</v>
      </c>
      <c r="G809" s="74">
        <f t="shared" si="298"/>
        <v>101.48601230194029</v>
      </c>
      <c r="H809" s="74">
        <f t="shared" si="299"/>
        <v>37.50992049257642</v>
      </c>
      <c r="I809" s="74">
        <f t="shared" si="291"/>
        <v>52.12259246172309</v>
      </c>
      <c r="J809" s="74">
        <f t="shared" si="292"/>
        <v>37.50992049257642</v>
      </c>
      <c r="K809" s="74">
        <f t="shared" si="293"/>
        <v>44.19445203907388</v>
      </c>
      <c r="L809" s="74">
        <f t="shared" si="300"/>
        <v>1.8271863724635415</v>
      </c>
      <c r="M809" s="74">
        <f t="shared" si="294"/>
        <v>3.297309476365921</v>
      </c>
      <c r="N809" s="74">
        <f t="shared" si="301"/>
        <v>0.6218050065196917</v>
      </c>
      <c r="O809" s="74">
        <f t="shared" si="302"/>
        <v>66.49595073709402</v>
      </c>
      <c r="P809" s="74">
        <f t="shared" si="303"/>
        <v>0.28276232799508483</v>
      </c>
    </row>
    <row r="810" spans="2:16" ht="13.5">
      <c r="B810" s="74">
        <f t="shared" si="295"/>
        <v>43.60086088663587</v>
      </c>
      <c r="C810" s="70">
        <f t="shared" si="304"/>
        <v>56.161</v>
      </c>
      <c r="D810" s="70">
        <f>D809+J794</f>
        <v>72</v>
      </c>
      <c r="E810" s="74">
        <f t="shared" si="296"/>
        <v>0.9801943612125354</v>
      </c>
      <c r="F810" s="74">
        <f t="shared" si="297"/>
        <v>1.2566370614359172</v>
      </c>
      <c r="G810" s="74">
        <f t="shared" si="298"/>
        <v>101.48601230194029</v>
      </c>
      <c r="H810" s="74">
        <f t="shared" si="299"/>
        <v>35.698762256707205</v>
      </c>
      <c r="I810" s="74">
        <f t="shared" si="291"/>
        <v>49.18471901725621</v>
      </c>
      <c r="J810" s="74">
        <f t="shared" si="292"/>
        <v>35.698762256707205</v>
      </c>
      <c r="K810" s="74">
        <f t="shared" si="293"/>
        <v>43.042106963828815</v>
      </c>
      <c r="L810" s="74">
        <f t="shared" si="300"/>
        <v>1.8446396649834846</v>
      </c>
      <c r="M810" s="74">
        <f t="shared" si="294"/>
        <v>3.3129719635610875</v>
      </c>
      <c r="N810" s="74">
        <f t="shared" si="301"/>
        <v>0.5678815425034818</v>
      </c>
      <c r="O810" s="74">
        <f t="shared" si="302"/>
        <v>65.16046414898634</v>
      </c>
      <c r="P810" s="74">
        <f t="shared" si="303"/>
        <v>0.28396281257599276</v>
      </c>
    </row>
    <row r="811" spans="2:16" ht="13.5">
      <c r="B811" s="74">
        <f t="shared" si="295"/>
        <v>43.54888640910918</v>
      </c>
      <c r="C811" s="70">
        <f t="shared" si="304"/>
        <v>56.161</v>
      </c>
      <c r="D811" s="70">
        <f>D810+J794</f>
        <v>73</v>
      </c>
      <c r="E811" s="74">
        <f t="shared" si="296"/>
        <v>0.9801943612125354</v>
      </c>
      <c r="F811" s="74">
        <f t="shared" si="297"/>
        <v>1.2740903539558606</v>
      </c>
      <c r="G811" s="74">
        <f t="shared" si="298"/>
        <v>101.48601230194029</v>
      </c>
      <c r="H811" s="74">
        <f t="shared" si="299"/>
        <v>33.86975581055276</v>
      </c>
      <c r="I811" s="74">
        <f t="shared" si="291"/>
        <v>46.27998190580472</v>
      </c>
      <c r="J811" s="74">
        <f t="shared" si="292"/>
        <v>33.86975581055276</v>
      </c>
      <c r="K811" s="74">
        <f t="shared" si="293"/>
        <v>41.90275921160796</v>
      </c>
      <c r="L811" s="74">
        <f t="shared" si="300"/>
        <v>1.8620929575034282</v>
      </c>
      <c r="M811" s="74">
        <f t="shared" si="294"/>
        <v>3.3298030883232532</v>
      </c>
      <c r="N811" s="74">
        <f t="shared" si="301"/>
        <v>0.5134266852020202</v>
      </c>
      <c r="O811" s="74">
        <f t="shared" si="302"/>
        <v>63.85482569946114</v>
      </c>
      <c r="P811" s="74">
        <f t="shared" si="303"/>
        <v>0.2865208012936354</v>
      </c>
    </row>
    <row r="812" spans="2:16" ht="13.5">
      <c r="B812" s="74">
        <f t="shared" si="295"/>
        <v>43.46944757195779</v>
      </c>
      <c r="C812" s="70">
        <f t="shared" si="304"/>
        <v>56.161</v>
      </c>
      <c r="D812" s="70">
        <f>D811+J794</f>
        <v>74</v>
      </c>
      <c r="E812" s="74">
        <f t="shared" si="296"/>
        <v>0.9801943612125354</v>
      </c>
      <c r="F812" s="74">
        <f t="shared" si="297"/>
        <v>1.2915436464758039</v>
      </c>
      <c r="G812" s="74">
        <f t="shared" si="298"/>
        <v>101.48601230194029</v>
      </c>
      <c r="H812" s="74">
        <f t="shared" si="299"/>
        <v>32.02150453781869</v>
      </c>
      <c r="I812" s="74">
        <f t="shared" si="291"/>
        <v>43.40608276923955</v>
      </c>
      <c r="J812" s="74">
        <f t="shared" si="292"/>
        <v>32.02150453781869</v>
      </c>
      <c r="K812" s="74">
        <f t="shared" si="293"/>
        <v>40.77550727942922</v>
      </c>
      <c r="L812" s="74">
        <f t="shared" si="300"/>
        <v>1.8795462500233713</v>
      </c>
      <c r="M812" s="74">
        <f t="shared" si="294"/>
        <v>3.347831092152982</v>
      </c>
      <c r="N812" s="74">
        <f t="shared" si="301"/>
        <v>0.4583988532741495</v>
      </c>
      <c r="O812" s="74">
        <f t="shared" si="302"/>
        <v>62.576727526129474</v>
      </c>
      <c r="P812" s="74">
        <f t="shared" si="303"/>
        <v>0.29043481865524856</v>
      </c>
    </row>
    <row r="813" spans="2:16" ht="13.5">
      <c r="B813" s="74">
        <f t="shared" si="295"/>
        <v>43.36256747677976</v>
      </c>
      <c r="C813" s="70">
        <f t="shared" si="304"/>
        <v>56.161</v>
      </c>
      <c r="D813" s="70">
        <f>D812+J794</f>
        <v>75</v>
      </c>
      <c r="E813" s="74">
        <f t="shared" si="296"/>
        <v>0.9801943612125354</v>
      </c>
      <c r="F813" s="74">
        <f t="shared" si="297"/>
        <v>1.3089969389957472</v>
      </c>
      <c r="G813" s="74">
        <f t="shared" si="298"/>
        <v>101.48601230194029</v>
      </c>
      <c r="H813" s="74">
        <f t="shared" si="299"/>
        <v>30.152558557855457</v>
      </c>
      <c r="I813" s="74">
        <f t="shared" si="291"/>
        <v>40.560809004261195</v>
      </c>
      <c r="J813" s="74">
        <f t="shared" si="292"/>
        <v>30.152558557855457</v>
      </c>
      <c r="K813" s="74">
        <f t="shared" si="293"/>
        <v>39.65948330059791</v>
      </c>
      <c r="L813" s="74">
        <f t="shared" si="300"/>
        <v>1.8969995425433148</v>
      </c>
      <c r="M813" s="74">
        <f t="shared" si="294"/>
        <v>3.3670866011551928</v>
      </c>
      <c r="N813" s="74">
        <f t="shared" si="301"/>
        <v>0.4027548795434824</v>
      </c>
      <c r="O813" s="74">
        <f t="shared" si="302"/>
        <v>61.32393102498041</v>
      </c>
      <c r="P813" s="74">
        <f t="shared" si="303"/>
        <v>0.2957089875812005</v>
      </c>
    </row>
    <row r="814" spans="2:16" ht="13.5">
      <c r="B814" s="74">
        <f t="shared" si="295"/>
        <v>43.22819062632203</v>
      </c>
      <c r="C814" s="70">
        <f t="shared" si="304"/>
        <v>56.161</v>
      </c>
      <c r="D814" s="70">
        <f>D813+J794</f>
        <v>76</v>
      </c>
      <c r="E814" s="74">
        <f t="shared" si="296"/>
        <v>0.9801943612125354</v>
      </c>
      <c r="F814" s="74">
        <f t="shared" si="297"/>
        <v>1.3264502315156903</v>
      </c>
      <c r="G814" s="74">
        <f t="shared" si="298"/>
        <v>101.48601230194029</v>
      </c>
      <c r="H814" s="74">
        <f t="shared" si="299"/>
        <v>28.2614098159386</v>
      </c>
      <c r="I814" s="74">
        <f t="shared" si="291"/>
        <v>37.7420264303865</v>
      </c>
      <c r="J814" s="74">
        <f t="shared" si="292"/>
        <v>28.2614098159386</v>
      </c>
      <c r="K814" s="74">
        <f t="shared" si="293"/>
        <v>38.55385016881386</v>
      </c>
      <c r="L814" s="74">
        <f t="shared" si="300"/>
        <v>1.914452835063258</v>
      </c>
      <c r="M814" s="74">
        <f t="shared" si="294"/>
        <v>3.3876027589624966</v>
      </c>
      <c r="N814" s="74">
        <f t="shared" si="301"/>
        <v>0.34644986482172163</v>
      </c>
      <c r="O814" s="74">
        <f t="shared" si="302"/>
        <v>60.094256714241375</v>
      </c>
      <c r="P814" s="74">
        <f t="shared" si="303"/>
        <v>0.30235282831482735</v>
      </c>
    </row>
    <row r="815" spans="2:16" ht="13.5">
      <c r="B815" s="74">
        <f t="shared" si="295"/>
        <v>43.06618285391455</v>
      </c>
      <c r="C815" s="70">
        <f t="shared" si="304"/>
        <v>56.161</v>
      </c>
      <c r="D815" s="70">
        <f>D814+J794</f>
        <v>77</v>
      </c>
      <c r="E815" s="74">
        <f t="shared" si="296"/>
        <v>0.9801943612125354</v>
      </c>
      <c r="F815" s="74">
        <f t="shared" si="297"/>
        <v>1.3439035240356338</v>
      </c>
      <c r="G815" s="74">
        <f t="shared" si="298"/>
        <v>101.48601230194029</v>
      </c>
      <c r="H815" s="74">
        <f t="shared" si="299"/>
        <v>26.34648681054474</v>
      </c>
      <c r="I815" s="74">
        <f t="shared" si="291"/>
        <v>34.9476724316321</v>
      </c>
      <c r="J815" s="74">
        <f t="shared" si="292"/>
        <v>26.34648681054474</v>
      </c>
      <c r="K815" s="74">
        <f t="shared" si="293"/>
        <v>37.4577988480803</v>
      </c>
      <c r="L815" s="74">
        <f t="shared" si="300"/>
        <v>1.9319061275832015</v>
      </c>
      <c r="M815" s="74">
        <f t="shared" si="294"/>
        <v>3.409415373203253</v>
      </c>
      <c r="N815" s="74">
        <f t="shared" si="301"/>
        <v>0.2894370209242849</v>
      </c>
      <c r="O815" s="74">
        <f t="shared" si="302"/>
        <v>58.885574460850826</v>
      </c>
      <c r="P815" s="74">
        <f t="shared" si="303"/>
        <v>0.3103810300900461</v>
      </c>
    </row>
    <row r="816" spans="2:16" ht="13.5">
      <c r="B816" s="74">
        <f t="shared" si="295"/>
        <v>42.876330751066256</v>
      </c>
      <c r="C816" s="70">
        <f t="shared" si="304"/>
        <v>56.161</v>
      </c>
      <c r="D816" s="70">
        <f>D815+J794</f>
        <v>78</v>
      </c>
      <c r="E816" s="74">
        <f t="shared" si="296"/>
        <v>0.9801943612125354</v>
      </c>
      <c r="F816" s="74">
        <f t="shared" si="297"/>
        <v>1.361356816555577</v>
      </c>
      <c r="G816" s="74">
        <f t="shared" si="298"/>
        <v>101.48601230194029</v>
      </c>
      <c r="H816" s="74">
        <f t="shared" si="299"/>
        <v>24.40614891650218</v>
      </c>
      <c r="I816" s="74">
        <f t="shared" si="291"/>
        <v>32.17574952279962</v>
      </c>
      <c r="J816" s="74">
        <f t="shared" si="292"/>
        <v>24.40614891650218</v>
      </c>
      <c r="K816" s="74">
        <f t="shared" si="293"/>
        <v>36.370545849157565</v>
      </c>
      <c r="L816" s="74">
        <f t="shared" si="300"/>
        <v>1.9493594201031446</v>
      </c>
      <c r="M816" s="74">
        <f t="shared" si="294"/>
        <v>3.4325630767730444</v>
      </c>
      <c r="N816" s="74">
        <f t="shared" si="301"/>
        <v>0.23166750165393885</v>
      </c>
      <c r="O816" s="74">
        <f t="shared" si="302"/>
        <v>57.695793984063094</v>
      </c>
      <c r="P816" s="74">
        <f t="shared" si="303"/>
        <v>0.3198131846938859</v>
      </c>
    </row>
    <row r="817" spans="2:16" ht="13.5">
      <c r="B817" s="74">
        <f t="shared" si="295"/>
        <v>42.65834058793251</v>
      </c>
      <c r="C817" s="70">
        <f t="shared" si="304"/>
        <v>56.161</v>
      </c>
      <c r="D817" s="70">
        <f>D816+J794</f>
        <v>79</v>
      </c>
      <c r="E817" s="74">
        <f t="shared" si="296"/>
        <v>0.9801943612125354</v>
      </c>
      <c r="F817" s="74">
        <f t="shared" si="297"/>
        <v>1.3788101090755203</v>
      </c>
      <c r="G817" s="74">
        <f t="shared" si="298"/>
        <v>101.48601230194029</v>
      </c>
      <c r="H817" s="74">
        <f t="shared" si="299"/>
        <v>22.438680258289008</v>
      </c>
      <c r="I817" s="74">
        <f t="shared" si="291"/>
        <v>29.424319295722153</v>
      </c>
      <c r="J817" s="74">
        <f t="shared" si="292"/>
        <v>22.438680258289008</v>
      </c>
      <c r="K817" s="74">
        <f t="shared" si="293"/>
        <v>35.29133085505204</v>
      </c>
      <c r="L817" s="74">
        <f t="shared" si="300"/>
        <v>1.9668127126230877</v>
      </c>
      <c r="M817" s="74">
        <f t="shared" si="294"/>
        <v>3.4570875053272205</v>
      </c>
      <c r="N817" s="74">
        <f t="shared" si="301"/>
        <v>0.17309022039101127</v>
      </c>
      <c r="O817" s="74">
        <f t="shared" si="302"/>
        <v>56.52285555370955</v>
      </c>
      <c r="P817" s="74">
        <f t="shared" si="303"/>
        <v>0.33067346780398144</v>
      </c>
    </row>
    <row r="818" spans="2:16" ht="13.5">
      <c r="B818" s="74">
        <f t="shared" si="295"/>
        <v>42.41183671555274</v>
      </c>
      <c r="C818" s="70">
        <f t="shared" si="304"/>
        <v>56.161</v>
      </c>
      <c r="D818" s="70">
        <f>D817+J794</f>
        <v>80</v>
      </c>
      <c r="E818" s="74">
        <f t="shared" si="296"/>
        <v>0.9801943612125354</v>
      </c>
      <c r="F818" s="74">
        <f t="shared" si="297"/>
        <v>1.3962634015954636</v>
      </c>
      <c r="G818" s="74">
        <f t="shared" si="298"/>
        <v>101.48601230194029</v>
      </c>
      <c r="H818" s="74">
        <f t="shared" si="299"/>
        <v>20.442283082501756</v>
      </c>
      <c r="I818" s="74">
        <f t="shared" si="291"/>
        <v>26.691496704743898</v>
      </c>
      <c r="J818" s="74">
        <f t="shared" si="292"/>
        <v>20.442283082501756</v>
      </c>
      <c r="K818" s="74">
        <f t="shared" si="293"/>
        <v>34.21941447956511</v>
      </c>
      <c r="L818" s="74">
        <f t="shared" si="300"/>
        <v>1.9842660051430312</v>
      </c>
      <c r="M818" s="74">
        <f t="shared" si="294"/>
        <v>3.483033492591896</v>
      </c>
      <c r="N818" s="74">
        <f t="shared" si="301"/>
        <v>0.1136516527724497</v>
      </c>
      <c r="O818" s="74">
        <f t="shared" si="302"/>
        <v>55.364720802452915</v>
      </c>
      <c r="P818" s="74">
        <f t="shared" si="303"/>
        <v>0.3429902506105918</v>
      </c>
    </row>
    <row r="819" spans="2:16" ht="13.5">
      <c r="B819" s="74">
        <f t="shared" si="295"/>
        <v>42.136359432756024</v>
      </c>
      <c r="C819" s="70">
        <f t="shared" si="304"/>
        <v>56.161</v>
      </c>
      <c r="D819" s="70">
        <f>D818+J794</f>
        <v>81</v>
      </c>
      <c r="E819" s="74">
        <f t="shared" si="296"/>
        <v>0.9801943612125354</v>
      </c>
      <c r="F819" s="74">
        <f t="shared" si="297"/>
        <v>1.413716694115407</v>
      </c>
      <c r="G819" s="74">
        <f t="shared" si="298"/>
        <v>101.48601230194029</v>
      </c>
      <c r="H819" s="74">
        <f t="shared" si="299"/>
        <v>18.415070572518374</v>
      </c>
      <c r="I819" s="74">
        <f t="shared" si="291"/>
        <v>23.97544465412669</v>
      </c>
      <c r="J819" s="74">
        <f t="shared" si="292"/>
        <v>18.415070572518374</v>
      </c>
      <c r="K819" s="74">
        <f t="shared" si="293"/>
        <v>33.15407614426935</v>
      </c>
      <c r="L819" s="74">
        <f t="shared" si="300"/>
        <v>2.0017192976629743</v>
      </c>
      <c r="M819" s="74">
        <f t="shared" si="294"/>
        <v>3.510449285294637</v>
      </c>
      <c r="N819" s="74">
        <f t="shared" si="301"/>
        <v>0.053295622763378</v>
      </c>
      <c r="O819" s="74">
        <f t="shared" si="302"/>
        <v>54.21936357201161</v>
      </c>
      <c r="P819" s="74">
        <f t="shared" si="303"/>
        <v>0.35679562077741495</v>
      </c>
    </row>
    <row r="820" spans="2:16" ht="13.5">
      <c r="B820" s="74">
        <f t="shared" si="295"/>
        <v>43.577624685015785</v>
      </c>
      <c r="C820" s="70">
        <f t="shared" si="304"/>
        <v>56.161</v>
      </c>
      <c r="D820" s="70">
        <f>D819+J794</f>
        <v>82</v>
      </c>
      <c r="E820" s="74">
        <f t="shared" si="296"/>
        <v>0.9801943612125354</v>
      </c>
      <c r="F820" s="74">
        <f t="shared" si="297"/>
        <v>1.43116998663535</v>
      </c>
      <c r="G820" s="74">
        <f t="shared" si="298"/>
        <v>101.48601230194029</v>
      </c>
      <c r="H820" s="74">
        <f t="shared" si="299"/>
        <v>21.274368853074545</v>
      </c>
      <c r="I820" s="74">
        <f aca="true" t="shared" si="305" ref="I820:I873">(0.5*$D$3*$D$9+$D$6)*$D$9/TAN(F820)</f>
        <v>21.274368853074545</v>
      </c>
      <c r="J820" s="74">
        <f t="shared" si="292"/>
        <v>16.355059041525283</v>
      </c>
      <c r="K820" s="74">
        <f aca="true" t="shared" si="306" ref="K820:K873">0.5*$D$3*$D$8^2*(1/TAN(F820)-1/TAN($D$16))+$G$19</f>
        <v>32.09461206045451</v>
      </c>
      <c r="L820" s="74">
        <f t="shared" si="300"/>
        <v>2.0191725901829174</v>
      </c>
      <c r="M820" s="74">
        <f t="shared" si="294"/>
        <v>3.539386779747792</v>
      </c>
      <c r="N820" s="74">
        <f t="shared" si="301"/>
        <v>-0.008036929779261789</v>
      </c>
      <c r="O820" s="74">
        <f t="shared" si="302"/>
        <v>55.30079949488149</v>
      </c>
      <c r="P820" s="74">
        <f t="shared" si="303"/>
        <v>0.28510613123608497</v>
      </c>
    </row>
    <row r="821" spans="2:16" ht="13.5">
      <c r="B821" s="74">
        <f t="shared" si="295"/>
        <v>43.047251638586694</v>
      </c>
      <c r="C821" s="70">
        <f t="shared" si="304"/>
        <v>56.161</v>
      </c>
      <c r="D821" s="70">
        <f>D820+J794</f>
        <v>83</v>
      </c>
      <c r="E821" s="74">
        <f t="shared" si="296"/>
        <v>0.9801943612125354</v>
      </c>
      <c r="F821" s="74">
        <f t="shared" si="297"/>
        <v>1.4486232791552935</v>
      </c>
      <c r="G821" s="74">
        <f t="shared" si="298"/>
        <v>101.48601230194029</v>
      </c>
      <c r="H821" s="74">
        <f t="shared" si="299"/>
        <v>18.586512906677186</v>
      </c>
      <c r="I821" s="74">
        <f t="shared" si="305"/>
        <v>18.586512906677186</v>
      </c>
      <c r="J821" s="74">
        <f t="shared" si="292"/>
        <v>14.26015943222883</v>
      </c>
      <c r="K821" s="74">
        <f t="shared" si="306"/>
        <v>31.040333303609955</v>
      </c>
      <c r="L821" s="74">
        <f t="shared" si="300"/>
        <v>2.036625882702861</v>
      </c>
      <c r="M821" s="74">
        <f t="shared" si="294"/>
        <v>3.569901782381449</v>
      </c>
      <c r="N821" s="74">
        <f t="shared" si="301"/>
        <v>-0.0704082021850964</v>
      </c>
      <c r="O821" s="74">
        <f t="shared" si="302"/>
        <v>53.900998762298414</v>
      </c>
      <c r="P821" s="74">
        <f t="shared" si="303"/>
        <v>0.3113204158527599</v>
      </c>
    </row>
    <row r="822" spans="2:16" ht="13.5">
      <c r="B822" s="74">
        <f t="shared" si="295"/>
        <v>42.49930851106402</v>
      </c>
      <c r="C822" s="70">
        <f t="shared" si="304"/>
        <v>56.161</v>
      </c>
      <c r="D822" s="70">
        <f>D821+J794</f>
        <v>84</v>
      </c>
      <c r="E822" s="74">
        <f t="shared" si="296"/>
        <v>0.9801943612125354</v>
      </c>
      <c r="F822" s="74">
        <f t="shared" si="297"/>
        <v>1.4660765716752369</v>
      </c>
      <c r="G822" s="74">
        <f t="shared" si="298"/>
        <v>101.48601230194029</v>
      </c>
      <c r="H822" s="74">
        <f t="shared" si="299"/>
        <v>15.910153613341771</v>
      </c>
      <c r="I822" s="74">
        <f t="shared" si="305"/>
        <v>15.910153613341771</v>
      </c>
      <c r="J822" s="74">
        <f t="shared" si="292"/>
        <v>12.128168042573405</v>
      </c>
      <c r="K822" s="74">
        <f t="shared" si="306"/>
        <v>29.990563968899536</v>
      </c>
      <c r="L822" s="74">
        <f t="shared" si="300"/>
        <v>2.0540791752228045</v>
      </c>
      <c r="M822" s="74">
        <f t="shared" si="294"/>
        <v>3.602054296824678</v>
      </c>
      <c r="N822" s="74">
        <f t="shared" si="301"/>
        <v>-0.1338838050927462</v>
      </c>
      <c r="O822" s="74">
        <f t="shared" si="302"/>
        <v>52.5320343164105</v>
      </c>
      <c r="P822" s="74">
        <f t="shared" si="303"/>
        <v>0.3386154857651715</v>
      </c>
    </row>
    <row r="823" spans="2:16" ht="13.5">
      <c r="B823" s="74">
        <f t="shared" si="295"/>
        <v>41.93375523389342</v>
      </c>
      <c r="C823" s="70">
        <f t="shared" si="304"/>
        <v>56.161</v>
      </c>
      <c r="D823" s="70">
        <f>D822+J794</f>
        <v>85</v>
      </c>
      <c r="E823" s="74">
        <f t="shared" si="296"/>
        <v>0.9801943612125354</v>
      </c>
      <c r="F823" s="74">
        <f t="shared" si="297"/>
        <v>1.4835298641951802</v>
      </c>
      <c r="G823" s="74">
        <f t="shared" si="298"/>
        <v>101.48601230194029</v>
      </c>
      <c r="H823" s="74">
        <f t="shared" si="299"/>
        <v>13.24359644123674</v>
      </c>
      <c r="I823" s="74">
        <f t="shared" si="305"/>
        <v>13.24359644123674</v>
      </c>
      <c r="J823" s="74">
        <f t="shared" si="292"/>
        <v>9.956756386451493</v>
      </c>
      <c r="K823" s="74">
        <f t="shared" si="306"/>
        <v>28.944639396851734</v>
      </c>
      <c r="L823" s="74">
        <f t="shared" si="300"/>
        <v>2.0715324677427476</v>
      </c>
      <c r="M823" s="74">
        <f t="shared" si="294"/>
        <v>3.6359088404790922</v>
      </c>
      <c r="N823" s="74">
        <f t="shared" si="301"/>
        <v>-0.1985330643260647</v>
      </c>
      <c r="O823" s="74">
        <f t="shared" si="302"/>
        <v>51.1916628008798</v>
      </c>
      <c r="P823" s="74">
        <f t="shared" si="303"/>
        <v>0.3669737161282842</v>
      </c>
    </row>
    <row r="824" spans="2:16" ht="13.5">
      <c r="B824" s="74">
        <f t="shared" si="295"/>
        <v>41.35050460687896</v>
      </c>
      <c r="C824" s="70">
        <f t="shared" si="304"/>
        <v>56.161</v>
      </c>
      <c r="D824" s="70">
        <f>D823+J794</f>
        <v>86</v>
      </c>
      <c r="E824" s="74">
        <f t="shared" si="296"/>
        <v>0.9801943612125354</v>
      </c>
      <c r="F824" s="74">
        <f t="shared" si="297"/>
        <v>1.5009831567151233</v>
      </c>
      <c r="G824" s="74">
        <f t="shared" si="298"/>
        <v>101.48601230194029</v>
      </c>
      <c r="H824" s="74">
        <f t="shared" si="299"/>
        <v>10.585171157948913</v>
      </c>
      <c r="I824" s="74">
        <f t="shared" si="305"/>
        <v>10.585171157948913</v>
      </c>
      <c r="J824" s="74">
        <f t="shared" si="292"/>
        <v>7.743460086500027</v>
      </c>
      <c r="K824" s="74">
        <f t="shared" si="306"/>
        <v>27.90190445914594</v>
      </c>
      <c r="L824" s="74">
        <f t="shared" si="300"/>
        <v>2.0889857602626907</v>
      </c>
      <c r="M824" s="74">
        <f t="shared" si="294"/>
        <v>3.6715347939252476</v>
      </c>
      <c r="N824" s="74">
        <f t="shared" si="301"/>
        <v>-0.26442935158799213</v>
      </c>
      <c r="O824" s="74">
        <f t="shared" si="302"/>
        <v>49.877720836510825</v>
      </c>
      <c r="P824" s="74">
        <f t="shared" si="303"/>
        <v>0.39637096349269024</v>
      </c>
    </row>
    <row r="825" spans="2:16" ht="13.5">
      <c r="B825" s="74">
        <f t="shared" si="295"/>
        <v>40.74942308673464</v>
      </c>
      <c r="C825" s="70">
        <f t="shared" si="304"/>
        <v>56.161</v>
      </c>
      <c r="D825" s="70">
        <f>D824+J794</f>
        <v>87</v>
      </c>
      <c r="E825" s="74">
        <f t="shared" si="296"/>
        <v>0.9801943612125354</v>
      </c>
      <c r="F825" s="74">
        <f t="shared" si="297"/>
        <v>1.5184364492350666</v>
      </c>
      <c r="G825" s="74">
        <f t="shared" si="298"/>
        <v>101.48601230194029</v>
      </c>
      <c r="H825" s="74">
        <f t="shared" si="299"/>
        <v>7.933227588970383</v>
      </c>
      <c r="I825" s="74">
        <f t="shared" si="305"/>
        <v>7.933227588970383</v>
      </c>
      <c r="J825" s="74">
        <f t="shared" si="292"/>
        <v>5.4856666823648865</v>
      </c>
      <c r="K825" s="74">
        <f t="shared" si="306"/>
        <v>26.861711894930572</v>
      </c>
      <c r="L825" s="74">
        <f t="shared" si="300"/>
        <v>2.106439052782634</v>
      </c>
      <c r="M825" s="74">
        <f t="shared" si="294"/>
        <v>3.7090067869585464</v>
      </c>
      <c r="N825" s="74">
        <f t="shared" si="301"/>
        <v>-0.3316504474440855</v>
      </c>
      <c r="O825" s="74">
        <f t="shared" si="302"/>
        <v>48.58811629286409</v>
      </c>
      <c r="P825" s="74">
        <f t="shared" si="303"/>
        <v>0.4267757916822458</v>
      </c>
    </row>
    <row r="826" spans="2:16" ht="13.5">
      <c r="B826" s="74">
        <f t="shared" si="295"/>
        <v>40.13033131211769</v>
      </c>
      <c r="C826" s="70">
        <f t="shared" si="304"/>
        <v>56.161</v>
      </c>
      <c r="D826" s="70">
        <f>D825+J794</f>
        <v>88</v>
      </c>
      <c r="E826" s="74">
        <f t="shared" si="296"/>
        <v>0.9801943612125354</v>
      </c>
      <c r="F826" s="74">
        <f t="shared" si="297"/>
        <v>1.53588974175501</v>
      </c>
      <c r="G826" s="74">
        <f t="shared" si="298"/>
        <v>101.48601230194029</v>
      </c>
      <c r="H826" s="74">
        <f t="shared" si="299"/>
        <v>5.286131481813329</v>
      </c>
      <c r="I826" s="74">
        <f t="shared" si="305"/>
        <v>5.286131481813329</v>
      </c>
      <c r="J826" s="74">
        <f t="shared" si="292"/>
        <v>3.180602221976846</v>
      </c>
      <c r="K826" s="74">
        <f t="shared" si="306"/>
        <v>25.823420688572526</v>
      </c>
      <c r="L826" s="74">
        <f t="shared" si="300"/>
        <v>2.1238923453025773</v>
      </c>
      <c r="M826" s="74">
        <f t="shared" si="294"/>
        <v>3.7484051255774977</v>
      </c>
      <c r="N826" s="74">
        <f t="shared" si="301"/>
        <v>-0.4002789405393484</v>
      </c>
      <c r="O826" s="74">
        <f t="shared" si="302"/>
        <v>47.32082000301488</v>
      </c>
      <c r="P826" s="74">
        <f t="shared" si="303"/>
        <v>0.45814879446063844</v>
      </c>
    </row>
    <row r="827" spans="2:16" ht="13.5">
      <c r="B827" s="74">
        <f t="shared" si="295"/>
        <v>39.49300437420536</v>
      </c>
      <c r="C827" s="70">
        <f t="shared" si="304"/>
        <v>56.161</v>
      </c>
      <c r="D827" s="70">
        <f>D826+J794</f>
        <v>89</v>
      </c>
      <c r="E827" s="74">
        <f t="shared" si="296"/>
        <v>0.9801943612125354</v>
      </c>
      <c r="F827" s="74">
        <f t="shared" si="297"/>
        <v>1.5533430342749535</v>
      </c>
      <c r="G827" s="74">
        <f t="shared" si="298"/>
        <v>101.48601230194029</v>
      </c>
      <c r="H827" s="74">
        <f t="shared" si="299"/>
        <v>2.642260453508916</v>
      </c>
      <c r="I827" s="74">
        <f t="shared" si="305"/>
        <v>2.642260453508916</v>
      </c>
      <c r="J827" s="74">
        <f t="shared" si="292"/>
        <v>0.8253164850416557</v>
      </c>
      <c r="K827" s="74">
        <f t="shared" si="306"/>
        <v>24.78639448011291</v>
      </c>
      <c r="L827" s="74">
        <f t="shared" si="300"/>
        <v>2.141345637822521</v>
      </c>
      <c r="M827" s="74">
        <f t="shared" si="294"/>
        <v>3.7898162648555984</v>
      </c>
      <c r="N827" s="74">
        <f t="shared" si="301"/>
        <v>-0.47040266753803595</v>
      </c>
      <c r="O827" s="74">
        <f t="shared" si="302"/>
        <v>46.073857859319105</v>
      </c>
      <c r="P827" s="74">
        <f t="shared" si="303"/>
        <v>0.4904420539913997</v>
      </c>
    </row>
    <row r="828" spans="2:16" ht="13.5">
      <c r="B828" s="74">
        <f t="shared" si="295"/>
        <v>38.83717183941432</v>
      </c>
      <c r="C828" s="70">
        <f t="shared" si="304"/>
        <v>56.161</v>
      </c>
      <c r="D828" s="70">
        <f>D827+J794</f>
        <v>90</v>
      </c>
      <c r="E828" s="74">
        <f t="shared" si="296"/>
        <v>0.9801943612125354</v>
      </c>
      <c r="F828" s="74">
        <f t="shared" si="297"/>
        <v>1.5707963267948966</v>
      </c>
      <c r="G828" s="74">
        <f t="shared" si="298"/>
        <v>101.48601230194029</v>
      </c>
      <c r="H828" s="74">
        <f t="shared" si="299"/>
        <v>9.272842368089618E-15</v>
      </c>
      <c r="I828" s="74">
        <f t="shared" si="305"/>
        <v>9.272842368089618E-15</v>
      </c>
      <c r="J828" s="74">
        <f t="shared" si="292"/>
        <v>-1.5833333333333073</v>
      </c>
      <c r="K828" s="74">
        <f t="shared" si="306"/>
        <v>23.750000000000007</v>
      </c>
      <c r="L828" s="74">
        <f t="shared" si="300"/>
        <v>2.158798930342464</v>
      </c>
      <c r="M828" s="74">
        <f t="shared" si="294"/>
        <v>3.8333333333333317</v>
      </c>
      <c r="N828" s="74">
        <f t="shared" si="301"/>
        <v>-0.5421151989096857</v>
      </c>
      <c r="O828" s="74">
        <f t="shared" si="302"/>
        <v>44.84530323209922</v>
      </c>
      <c r="P828" s="74">
        <f t="shared" si="303"/>
        <v>0.5235987755982986</v>
      </c>
    </row>
    <row r="829" spans="2:16" ht="13.5">
      <c r="B829" s="74">
        <f t="shared" si="295"/>
        <v>41.957364873864805</v>
      </c>
      <c r="C829" s="70">
        <f>C828+J793</f>
        <v>56.3146</v>
      </c>
      <c r="D829" s="70">
        <f>D798</f>
        <v>60</v>
      </c>
      <c r="E829" s="74">
        <f t="shared" si="296"/>
        <v>0.9828751869435988</v>
      </c>
      <c r="F829" s="74">
        <f t="shared" si="297"/>
        <v>1.0471975511965976</v>
      </c>
      <c r="G829" s="74">
        <f t="shared" si="298"/>
        <v>100.89885537046587</v>
      </c>
      <c r="H829" s="74">
        <f t="shared" si="299"/>
        <v>56.61327536344993</v>
      </c>
      <c r="I829" s="74">
        <f t="shared" si="305"/>
        <v>87.39639699857963</v>
      </c>
      <c r="J829" s="74">
        <f t="shared" si="292"/>
        <v>56.61327536344993</v>
      </c>
      <c r="K829" s="74">
        <f t="shared" si="306"/>
        <v>58.03017223313404</v>
      </c>
      <c r="L829" s="74">
        <f t="shared" si="300"/>
        <v>1.6352001547441652</v>
      </c>
      <c r="M829" s="74">
        <f t="shared" si="294"/>
        <v>3.196152422706631</v>
      </c>
      <c r="N829" s="74">
        <f t="shared" si="301"/>
        <v>1.1905676074715958</v>
      </c>
      <c r="O829" s="74">
        <f t="shared" si="302"/>
        <v>83.91472974772962</v>
      </c>
      <c r="P829" s="74">
        <f t="shared" si="303"/>
        <v>0.3655443046086712</v>
      </c>
    </row>
    <row r="830" spans="2:16" ht="13.5">
      <c r="B830" s="74">
        <f t="shared" si="295"/>
        <v>42.2686907155174</v>
      </c>
      <c r="C830" s="70">
        <f aca="true" t="shared" si="307" ref="C830:C859">C829</f>
        <v>56.3146</v>
      </c>
      <c r="D830" s="70">
        <f aca="true" t="shared" si="308" ref="D830:D859">D799</f>
        <v>61</v>
      </c>
      <c r="E830" s="74">
        <f t="shared" si="296"/>
        <v>0.9828751869435988</v>
      </c>
      <c r="F830" s="74">
        <f t="shared" si="297"/>
        <v>1.064650843716541</v>
      </c>
      <c r="G830" s="74">
        <f t="shared" si="298"/>
        <v>100.89885537046587</v>
      </c>
      <c r="H830" s="74">
        <f t="shared" si="299"/>
        <v>54.91741842603781</v>
      </c>
      <c r="I830" s="74">
        <f t="shared" si="305"/>
        <v>83.90853266366291</v>
      </c>
      <c r="J830" s="74">
        <f aca="true" t="shared" si="309" ref="J830:J863">0.5*$J$18*N830*$D$3+$G$18</f>
        <v>54.91741842603781</v>
      </c>
      <c r="K830" s="74">
        <f t="shared" si="306"/>
        <v>56.662099930008154</v>
      </c>
      <c r="L830" s="74">
        <f t="shared" si="300"/>
        <v>1.6526534472641083</v>
      </c>
      <c r="M830" s="74">
        <f aca="true" t="shared" si="310" ref="M830:M861">J$18/SIN(L830)*SIN(J$19)</f>
        <v>3.200241894286732</v>
      </c>
      <c r="N830" s="74">
        <f t="shared" si="301"/>
        <v>1.1400769994561701</v>
      </c>
      <c r="O830" s="74">
        <f t="shared" si="302"/>
        <v>82.06906008434264</v>
      </c>
      <c r="P830" s="74">
        <f t="shared" si="303"/>
        <v>0.35000458712248744</v>
      </c>
    </row>
    <row r="831" spans="2:16" ht="13.5">
      <c r="B831" s="74">
        <f t="shared" si="295"/>
        <v>42.54534518016417</v>
      </c>
      <c r="C831" s="70">
        <f t="shared" si="307"/>
        <v>56.3146</v>
      </c>
      <c r="D831" s="70">
        <f t="shared" si="308"/>
        <v>62</v>
      </c>
      <c r="E831" s="74">
        <f t="shared" si="296"/>
        <v>0.9828751869435988</v>
      </c>
      <c r="F831" s="74">
        <f t="shared" si="297"/>
        <v>1.0821041362364843</v>
      </c>
      <c r="G831" s="74">
        <f t="shared" si="298"/>
        <v>100.89885537046587</v>
      </c>
      <c r="H831" s="74">
        <f t="shared" si="299"/>
        <v>53.21669751699319</v>
      </c>
      <c r="I831" s="74">
        <f t="shared" si="305"/>
        <v>80.48751521775635</v>
      </c>
      <c r="J831" s="74">
        <f t="shared" si="309"/>
        <v>53.21669751699319</v>
      </c>
      <c r="K831" s="74">
        <f t="shared" si="306"/>
        <v>55.3202475049003</v>
      </c>
      <c r="L831" s="74">
        <f t="shared" si="300"/>
        <v>1.6701067397840519</v>
      </c>
      <c r="M831" s="74">
        <f t="shared" si="310"/>
        <v>3.205319466443784</v>
      </c>
      <c r="N831" s="74">
        <f t="shared" si="301"/>
        <v>1.0894415768165406</v>
      </c>
      <c r="O831" s="74">
        <f t="shared" si="302"/>
        <v>80.28646635771477</v>
      </c>
      <c r="P831" s="74">
        <f t="shared" si="303"/>
        <v>0.3362395640774254</v>
      </c>
    </row>
    <row r="832" spans="2:16" ht="13.5">
      <c r="B832" s="74">
        <f t="shared" si="295"/>
        <v>42.78848737516607</v>
      </c>
      <c r="C832" s="70">
        <f t="shared" si="307"/>
        <v>56.3146</v>
      </c>
      <c r="D832" s="70">
        <f t="shared" si="308"/>
        <v>63</v>
      </c>
      <c r="E832" s="74">
        <f t="shared" si="296"/>
        <v>0.9828751869435988</v>
      </c>
      <c r="F832" s="74">
        <f t="shared" si="297"/>
        <v>1.0995574287564276</v>
      </c>
      <c r="G832" s="74">
        <f t="shared" si="298"/>
        <v>100.89885537046587</v>
      </c>
      <c r="H832" s="74">
        <f t="shared" si="299"/>
        <v>51.51005054407396</v>
      </c>
      <c r="I832" s="74">
        <f t="shared" si="305"/>
        <v>77.12941491721917</v>
      </c>
      <c r="J832" s="74">
        <f t="shared" si="309"/>
        <v>51.51005054407396</v>
      </c>
      <c r="K832" s="74">
        <f t="shared" si="306"/>
        <v>54.00307356373172</v>
      </c>
      <c r="L832" s="74">
        <f t="shared" si="300"/>
        <v>1.687560032303995</v>
      </c>
      <c r="M832" s="74">
        <f t="shared" si="310"/>
        <v>3.2113929525108333</v>
      </c>
      <c r="N832" s="74">
        <f t="shared" si="301"/>
        <v>1.0386297179684278</v>
      </c>
      <c r="O832" s="74">
        <f t="shared" si="302"/>
        <v>78.56301995317963</v>
      </c>
      <c r="P832" s="74">
        <f t="shared" si="303"/>
        <v>0.3241803464290647</v>
      </c>
    </row>
    <row r="833" spans="2:16" ht="13.5">
      <c r="B833" s="74">
        <f t="shared" si="295"/>
        <v>42.99915318794844</v>
      </c>
      <c r="C833" s="70">
        <f t="shared" si="307"/>
        <v>56.3146</v>
      </c>
      <c r="D833" s="70">
        <f t="shared" si="308"/>
        <v>64</v>
      </c>
      <c r="E833" s="74">
        <f t="shared" si="296"/>
        <v>0.9828751869435988</v>
      </c>
      <c r="F833" s="74">
        <f t="shared" si="297"/>
        <v>1.117010721276371</v>
      </c>
      <c r="G833" s="74">
        <f t="shared" si="298"/>
        <v>100.89885537046587</v>
      </c>
      <c r="H833" s="74">
        <f t="shared" si="299"/>
        <v>49.7964007486329</v>
      </c>
      <c r="I833" s="74">
        <f t="shared" si="305"/>
        <v>73.83052059415728</v>
      </c>
      <c r="J833" s="74">
        <f t="shared" si="309"/>
        <v>49.7964007486329</v>
      </c>
      <c r="K833" s="74">
        <f t="shared" si="306"/>
        <v>52.70912244609802</v>
      </c>
      <c r="L833" s="74">
        <f t="shared" si="300"/>
        <v>1.7050133248239385</v>
      </c>
      <c r="M833" s="74">
        <f t="shared" si="310"/>
        <v>3.21847173736185</v>
      </c>
      <c r="N833" s="74">
        <f t="shared" si="301"/>
        <v>0.9876093646658881</v>
      </c>
      <c r="O833" s="74">
        <f t="shared" si="302"/>
        <v>76.89502660184931</v>
      </c>
      <c r="P833" s="74">
        <f t="shared" si="303"/>
        <v>0.31376361373207584</v>
      </c>
    </row>
    <row r="834" spans="2:16" ht="13.5">
      <c r="B834" s="74">
        <f t="shared" si="295"/>
        <v>43.17826310288465</v>
      </c>
      <c r="C834" s="70">
        <f t="shared" si="307"/>
        <v>56.3146</v>
      </c>
      <c r="D834" s="70">
        <f t="shared" si="308"/>
        <v>65</v>
      </c>
      <c r="E834" s="74">
        <f t="shared" si="296"/>
        <v>0.9828751869435988</v>
      </c>
      <c r="F834" s="74">
        <f t="shared" si="297"/>
        <v>1.1344640137963142</v>
      </c>
      <c r="G834" s="74">
        <f t="shared" si="298"/>
        <v>100.89885537046587</v>
      </c>
      <c r="H834" s="74">
        <f t="shared" si="299"/>
        <v>48.07465394252364</v>
      </c>
      <c r="I834" s="74">
        <f t="shared" si="305"/>
        <v>70.58732175321292</v>
      </c>
      <c r="J834" s="74">
        <f t="shared" si="309"/>
        <v>48.07465394252364</v>
      </c>
      <c r="K834" s="74">
        <f t="shared" si="306"/>
        <v>51.43701720295304</v>
      </c>
      <c r="L834" s="74">
        <f t="shared" si="300"/>
        <v>1.7224666173438816</v>
      </c>
      <c r="M834" s="74">
        <f t="shared" si="310"/>
        <v>3.2265668130425462</v>
      </c>
      <c r="N834" s="74">
        <f t="shared" si="301"/>
        <v>0.9363479397359457</v>
      </c>
      <c r="O834" s="74">
        <f t="shared" si="302"/>
        <v>75.27900444720892</v>
      </c>
      <c r="P834" s="74">
        <f t="shared" si="303"/>
        <v>0.30493207163880165</v>
      </c>
    </row>
    <row r="835" spans="2:16" ht="13.5">
      <c r="B835" s="74">
        <f t="shared" si="295"/>
        <v>43.326629049019516</v>
      </c>
      <c r="C835" s="70">
        <f t="shared" si="307"/>
        <v>56.3146</v>
      </c>
      <c r="D835" s="70">
        <f t="shared" si="308"/>
        <v>66</v>
      </c>
      <c r="E835" s="74">
        <f t="shared" si="296"/>
        <v>0.9828751869435988</v>
      </c>
      <c r="F835" s="74">
        <f t="shared" si="297"/>
        <v>1.1519173063162575</v>
      </c>
      <c r="G835" s="74">
        <f t="shared" si="298"/>
        <v>100.89885537046587</v>
      </c>
      <c r="H835" s="74">
        <f t="shared" si="299"/>
        <v>46.34369565210348</v>
      </c>
      <c r="I835" s="74">
        <f t="shared" si="305"/>
        <v>67.39649223857965</v>
      </c>
      <c r="J835" s="74">
        <f t="shared" si="309"/>
        <v>46.34369565210348</v>
      </c>
      <c r="K835" s="74">
        <f t="shared" si="306"/>
        <v>50.18545319019432</v>
      </c>
      <c r="L835" s="74">
        <f t="shared" si="300"/>
        <v>1.7399199098638252</v>
      </c>
      <c r="M835" s="74">
        <f t="shared" si="310"/>
        <v>3.235690820800044</v>
      </c>
      <c r="N835" s="74">
        <f t="shared" si="301"/>
        <v>0.8848122620472225</v>
      </c>
      <c r="O835" s="74">
        <f t="shared" si="302"/>
        <v>73.71166404743484</v>
      </c>
      <c r="P835" s="74">
        <f t="shared" si="303"/>
        <v>0.2976347240684422</v>
      </c>
    </row>
    <row r="836" spans="2:16" ht="13.5">
      <c r="B836" s="74">
        <f t="shared" si="295"/>
        <v>43.44496036954424</v>
      </c>
      <c r="C836" s="70">
        <f t="shared" si="307"/>
        <v>56.3146</v>
      </c>
      <c r="D836" s="70">
        <f t="shared" si="308"/>
        <v>67</v>
      </c>
      <c r="E836" s="74">
        <f t="shared" si="296"/>
        <v>0.9828751869435988</v>
      </c>
      <c r="F836" s="74">
        <f t="shared" si="297"/>
        <v>1.1693705988362006</v>
      </c>
      <c r="G836" s="74">
        <f t="shared" si="298"/>
        <v>100.89885537046587</v>
      </c>
      <c r="H836" s="74">
        <f t="shared" si="299"/>
        <v>44.602388153158174</v>
      </c>
      <c r="I836" s="74">
        <f t="shared" si="305"/>
        <v>64.25487530372895</v>
      </c>
      <c r="J836" s="74">
        <f t="shared" si="309"/>
        <v>44.602388153158174</v>
      </c>
      <c r="K836" s="74">
        <f t="shared" si="306"/>
        <v>48.95319221244529</v>
      </c>
      <c r="L836" s="74">
        <f t="shared" si="300"/>
        <v>1.7573732023837683</v>
      </c>
      <c r="M836" s="74">
        <f t="shared" si="310"/>
        <v>3.2458580998131934</v>
      </c>
      <c r="N836" s="74">
        <f t="shared" si="301"/>
        <v>0.8329684582310031</v>
      </c>
      <c r="O836" s="74">
        <f t="shared" si="302"/>
        <v>72.18989007951019</v>
      </c>
      <c r="P836" s="74">
        <f t="shared" si="303"/>
        <v>0.2918270081666655</v>
      </c>
    </row>
    <row r="837" spans="2:16" ht="13.5">
      <c r="B837" s="74">
        <f t="shared" si="295"/>
        <v>43.5338689907173</v>
      </c>
      <c r="C837" s="70">
        <f t="shared" si="307"/>
        <v>56.3146</v>
      </c>
      <c r="D837" s="70">
        <f t="shared" si="308"/>
        <v>68</v>
      </c>
      <c r="E837" s="74">
        <f t="shared" si="296"/>
        <v>0.9828751869435988</v>
      </c>
      <c r="F837" s="74">
        <f t="shared" si="297"/>
        <v>1.1868238913561442</v>
      </c>
      <c r="G837" s="74">
        <f t="shared" si="298"/>
        <v>100.89885537046587</v>
      </c>
      <c r="H837" s="74">
        <f t="shared" si="299"/>
        <v>42.84956737955771</v>
      </c>
      <c r="I837" s="74">
        <f t="shared" si="305"/>
        <v>61.15946993579685</v>
      </c>
      <c r="J837" s="74">
        <f t="shared" si="309"/>
        <v>42.84956737955771</v>
      </c>
      <c r="K837" s="74">
        <f t="shared" si="306"/>
        <v>47.739057158962424</v>
      </c>
      <c r="L837" s="74">
        <f t="shared" si="300"/>
        <v>1.7748264949037118</v>
      </c>
      <c r="M837" s="74">
        <f t="shared" si="310"/>
        <v>3.2570847429771757</v>
      </c>
      <c r="N837" s="74">
        <f t="shared" si="301"/>
        <v>0.7807818706428962</v>
      </c>
      <c r="O837" s="74">
        <f t="shared" si="302"/>
        <v>70.710724538497</v>
      </c>
      <c r="P837" s="74">
        <f t="shared" si="303"/>
        <v>0.2874708301502018</v>
      </c>
    </row>
    <row r="838" spans="2:16" ht="13.5">
      <c r="B838" s="74">
        <f t="shared" si="295"/>
        <v>43.59387385632871</v>
      </c>
      <c r="C838" s="70">
        <f t="shared" si="307"/>
        <v>56.3146</v>
      </c>
      <c r="D838" s="70">
        <f t="shared" si="308"/>
        <v>69</v>
      </c>
      <c r="E838" s="74">
        <f t="shared" si="296"/>
        <v>0.9828751869435988</v>
      </c>
      <c r="F838" s="74">
        <f t="shared" si="297"/>
        <v>1.2042771838760873</v>
      </c>
      <c r="G838" s="74">
        <f t="shared" si="298"/>
        <v>100.89885537046587</v>
      </c>
      <c r="H838" s="74">
        <f t="shared" si="299"/>
        <v>41.08403968726031</v>
      </c>
      <c r="I838" s="74">
        <f t="shared" si="305"/>
        <v>58.107418303486085</v>
      </c>
      <c r="J838" s="74">
        <f t="shared" si="309"/>
        <v>41.08403968726031</v>
      </c>
      <c r="K838" s="74">
        <f t="shared" si="306"/>
        <v>46.54192708022782</v>
      </c>
      <c r="L838" s="74">
        <f t="shared" si="300"/>
        <v>1.792279787423655</v>
      </c>
      <c r="M838" s="74">
        <f t="shared" si="310"/>
        <v>3.2693886601519666</v>
      </c>
      <c r="N838" s="74">
        <f t="shared" si="301"/>
        <v>0.7282169610177962</v>
      </c>
      <c r="O838" s="74">
        <f t="shared" si="302"/>
        <v>69.2713512486145</v>
      </c>
      <c r="P838" s="74">
        <f t="shared" si="303"/>
        <v>0.2845345314345628</v>
      </c>
    </row>
    <row r="839" spans="2:16" ht="13.5">
      <c r="B839" s="74">
        <f t="shared" si="295"/>
        <v>43.625404683556816</v>
      </c>
      <c r="C839" s="70">
        <f t="shared" si="307"/>
        <v>56.3146</v>
      </c>
      <c r="D839" s="70">
        <f t="shared" si="308"/>
        <v>70</v>
      </c>
      <c r="E839" s="74">
        <f t="shared" si="296"/>
        <v>0.9828751869435988</v>
      </c>
      <c r="F839" s="74">
        <f t="shared" si="297"/>
        <v>1.2217304763960306</v>
      </c>
      <c r="G839" s="74">
        <f t="shared" si="298"/>
        <v>100.89885537046587</v>
      </c>
      <c r="H839" s="74">
        <f t="shared" si="299"/>
        <v>39.30457845389725</v>
      </c>
      <c r="I839" s="74">
        <f t="shared" si="305"/>
        <v>55.09599421204639</v>
      </c>
      <c r="J839" s="74">
        <f t="shared" si="309"/>
        <v>39.30457845389725</v>
      </c>
      <c r="K839" s="74">
        <f t="shared" si="306"/>
        <v>45.360732659555765</v>
      </c>
      <c r="L839" s="74">
        <f t="shared" si="300"/>
        <v>1.809733079943598</v>
      </c>
      <c r="M839" s="74">
        <f t="shared" si="310"/>
        <v>3.2827896493451227</v>
      </c>
      <c r="N839" s="74">
        <f t="shared" si="301"/>
        <v>0.6752372092296027</v>
      </c>
      <c r="O839" s="74">
        <f t="shared" si="302"/>
        <v>67.86908152263717</v>
      </c>
      <c r="P839" s="74">
        <f t="shared" si="303"/>
        <v>0.28299280704877605</v>
      </c>
    </row>
    <row r="840" spans="2:16" ht="13.5">
      <c r="B840" s="74">
        <f t="shared" si="295"/>
        <v>43.62880508693457</v>
      </c>
      <c r="C840" s="70">
        <f t="shared" si="307"/>
        <v>56.3146</v>
      </c>
      <c r="D840" s="70">
        <f t="shared" si="308"/>
        <v>71</v>
      </c>
      <c r="E840" s="74">
        <f t="shared" si="296"/>
        <v>0.9828751869435988</v>
      </c>
      <c r="F840" s="74">
        <f t="shared" si="297"/>
        <v>1.239183768915974</v>
      </c>
      <c r="G840" s="74">
        <f t="shared" si="298"/>
        <v>100.89885537046587</v>
      </c>
      <c r="H840" s="74">
        <f t="shared" si="299"/>
        <v>37.50992049257642</v>
      </c>
      <c r="I840" s="74">
        <f t="shared" si="305"/>
        <v>52.12259246172309</v>
      </c>
      <c r="J840" s="74">
        <f t="shared" si="309"/>
        <v>37.50992049257642</v>
      </c>
      <c r="K840" s="74">
        <f t="shared" si="306"/>
        <v>44.19445203907388</v>
      </c>
      <c r="L840" s="74">
        <f t="shared" si="300"/>
        <v>1.8271863724635415</v>
      </c>
      <c r="M840" s="74">
        <f t="shared" si="310"/>
        <v>3.297309476365921</v>
      </c>
      <c r="N840" s="74">
        <f t="shared" si="301"/>
        <v>0.6218050065196917</v>
      </c>
      <c r="O840" s="74">
        <f t="shared" si="302"/>
        <v>66.50134082304635</v>
      </c>
      <c r="P840" s="74">
        <f t="shared" si="303"/>
        <v>0.2828265921144307</v>
      </c>
    </row>
    <row r="841" spans="2:16" ht="13.5">
      <c r="B841" s="74">
        <f t="shared" si="295"/>
        <v>43.60433510892788</v>
      </c>
      <c r="C841" s="70">
        <f t="shared" si="307"/>
        <v>56.3146</v>
      </c>
      <c r="D841" s="70">
        <f t="shared" si="308"/>
        <v>72</v>
      </c>
      <c r="E841" s="74">
        <f t="shared" si="296"/>
        <v>0.9828751869435988</v>
      </c>
      <c r="F841" s="74">
        <f t="shared" si="297"/>
        <v>1.2566370614359172</v>
      </c>
      <c r="G841" s="74">
        <f t="shared" si="298"/>
        <v>100.89885537046587</v>
      </c>
      <c r="H841" s="74">
        <f t="shared" si="299"/>
        <v>35.698762256707205</v>
      </c>
      <c r="I841" s="74">
        <f t="shared" si="305"/>
        <v>49.18471901725621</v>
      </c>
      <c r="J841" s="74">
        <f t="shared" si="309"/>
        <v>35.698762256707205</v>
      </c>
      <c r="K841" s="74">
        <f t="shared" si="306"/>
        <v>43.042106963828815</v>
      </c>
      <c r="L841" s="74">
        <f t="shared" si="300"/>
        <v>1.8446396649834846</v>
      </c>
      <c r="M841" s="74">
        <f t="shared" si="310"/>
        <v>3.3129719635610875</v>
      </c>
      <c r="N841" s="74">
        <f t="shared" si="301"/>
        <v>0.5678815425034818</v>
      </c>
      <c r="O841" s="74">
        <f t="shared" si="302"/>
        <v>65.16565629273076</v>
      </c>
      <c r="P841" s="74">
        <f t="shared" si="303"/>
        <v>0.28402292692131104</v>
      </c>
    </row>
    <row r="842" spans="2:16" ht="13.5">
      <c r="B842" s="74">
        <f t="shared" si="295"/>
        <v>43.55217318815841</v>
      </c>
      <c r="C842" s="70">
        <f t="shared" si="307"/>
        <v>56.3146</v>
      </c>
      <c r="D842" s="70">
        <f t="shared" si="308"/>
        <v>73</v>
      </c>
      <c r="E842" s="74">
        <f t="shared" si="296"/>
        <v>0.9828751869435988</v>
      </c>
      <c r="F842" s="74">
        <f t="shared" si="297"/>
        <v>1.2740903539558606</v>
      </c>
      <c r="G842" s="74">
        <f t="shared" si="298"/>
        <v>100.89885537046587</v>
      </c>
      <c r="H842" s="74">
        <f t="shared" si="299"/>
        <v>33.86975581055276</v>
      </c>
      <c r="I842" s="74">
        <f t="shared" si="305"/>
        <v>46.27998190580472</v>
      </c>
      <c r="J842" s="74">
        <f t="shared" si="309"/>
        <v>33.86975581055276</v>
      </c>
      <c r="K842" s="74">
        <f t="shared" si="306"/>
        <v>41.90275921160796</v>
      </c>
      <c r="L842" s="74">
        <f t="shared" si="300"/>
        <v>1.8620929575034282</v>
      </c>
      <c r="M842" s="74">
        <f t="shared" si="310"/>
        <v>3.3298030883232532</v>
      </c>
      <c r="N842" s="74">
        <f t="shared" si="301"/>
        <v>0.5134266852020202</v>
      </c>
      <c r="O842" s="74">
        <f t="shared" si="302"/>
        <v>63.859645035168825</v>
      </c>
      <c r="P842" s="74">
        <f t="shared" si="303"/>
        <v>0.28657480666599644</v>
      </c>
    </row>
    <row r="843" spans="2:16" ht="13.5">
      <c r="B843" s="74">
        <f t="shared" si="295"/>
        <v>43.4724175894271</v>
      </c>
      <c r="C843" s="70">
        <f t="shared" si="307"/>
        <v>56.3146</v>
      </c>
      <c r="D843" s="70">
        <f t="shared" si="308"/>
        <v>74</v>
      </c>
      <c r="E843" s="74">
        <f t="shared" si="296"/>
        <v>0.9828751869435988</v>
      </c>
      <c r="F843" s="74">
        <f t="shared" si="297"/>
        <v>1.2915436464758039</v>
      </c>
      <c r="G843" s="74">
        <f t="shared" si="298"/>
        <v>100.89885537046587</v>
      </c>
      <c r="H843" s="74">
        <f t="shared" si="299"/>
        <v>32.02150453781869</v>
      </c>
      <c r="I843" s="74">
        <f t="shared" si="305"/>
        <v>43.40608276923955</v>
      </c>
      <c r="J843" s="74">
        <f t="shared" si="309"/>
        <v>32.02150453781869</v>
      </c>
      <c r="K843" s="74">
        <f t="shared" si="306"/>
        <v>40.77550727942922</v>
      </c>
      <c r="L843" s="74">
        <f t="shared" si="300"/>
        <v>1.8795462500233713</v>
      </c>
      <c r="M843" s="74">
        <f t="shared" si="310"/>
        <v>3.347831092152982</v>
      </c>
      <c r="N843" s="74">
        <f t="shared" si="301"/>
        <v>0.4583988532741495</v>
      </c>
      <c r="O843" s="74">
        <f t="shared" si="302"/>
        <v>62.581003034200236</v>
      </c>
      <c r="P843" s="74">
        <f t="shared" si="303"/>
        <v>0.29048101803414755</v>
      </c>
    </row>
    <row r="844" spans="2:16" ht="13.5">
      <c r="B844" s="74">
        <f t="shared" si="295"/>
        <v>43.365087313276696</v>
      </c>
      <c r="C844" s="70">
        <f t="shared" si="307"/>
        <v>56.3146</v>
      </c>
      <c r="D844" s="70">
        <f t="shared" si="308"/>
        <v>75</v>
      </c>
      <c r="E844" s="74">
        <f t="shared" si="296"/>
        <v>0.9828751869435988</v>
      </c>
      <c r="F844" s="74">
        <f t="shared" si="297"/>
        <v>1.3089969389957472</v>
      </c>
      <c r="G844" s="74">
        <f t="shared" si="298"/>
        <v>100.89885537046587</v>
      </c>
      <c r="H844" s="74">
        <f t="shared" si="299"/>
        <v>30.152558557855457</v>
      </c>
      <c r="I844" s="74">
        <f t="shared" si="305"/>
        <v>40.560809004261195</v>
      </c>
      <c r="J844" s="74">
        <f t="shared" si="309"/>
        <v>30.152558557855457</v>
      </c>
      <c r="K844" s="74">
        <f t="shared" si="306"/>
        <v>39.65948330059791</v>
      </c>
      <c r="L844" s="74">
        <f t="shared" si="300"/>
        <v>1.8969995425433148</v>
      </c>
      <c r="M844" s="74">
        <f t="shared" si="310"/>
        <v>3.3670866011551928</v>
      </c>
      <c r="N844" s="74">
        <f t="shared" si="301"/>
        <v>0.4027548795434824</v>
      </c>
      <c r="O844" s="74">
        <f t="shared" si="302"/>
        <v>61.327494611929346</v>
      </c>
      <c r="P844" s="74">
        <f t="shared" si="303"/>
        <v>0.29574596131743724</v>
      </c>
    </row>
    <row r="845" spans="2:16" ht="13.5">
      <c r="B845" s="74">
        <f t="shared" si="295"/>
        <v>43.23012249675004</v>
      </c>
      <c r="C845" s="70">
        <f t="shared" si="307"/>
        <v>56.3146</v>
      </c>
      <c r="D845" s="70">
        <f t="shared" si="308"/>
        <v>76</v>
      </c>
      <c r="E845" s="74">
        <f t="shared" si="296"/>
        <v>0.9828751869435988</v>
      </c>
      <c r="F845" s="74">
        <f t="shared" si="297"/>
        <v>1.3264502315156903</v>
      </c>
      <c r="G845" s="74">
        <f t="shared" si="298"/>
        <v>100.89885537046587</v>
      </c>
      <c r="H845" s="74">
        <f t="shared" si="299"/>
        <v>28.2614098159386</v>
      </c>
      <c r="I845" s="74">
        <f t="shared" si="305"/>
        <v>37.7420264303865</v>
      </c>
      <c r="J845" s="74">
        <f t="shared" si="309"/>
        <v>28.2614098159386</v>
      </c>
      <c r="K845" s="74">
        <f t="shared" si="306"/>
        <v>38.55385016881386</v>
      </c>
      <c r="L845" s="74">
        <f t="shared" si="300"/>
        <v>1.914452835063258</v>
      </c>
      <c r="M845" s="74">
        <f t="shared" si="310"/>
        <v>3.3876027589624966</v>
      </c>
      <c r="N845" s="74">
        <f t="shared" si="301"/>
        <v>0.34644986482172163</v>
      </c>
      <c r="O845" s="74">
        <f t="shared" si="302"/>
        <v>60.09694233017295</v>
      </c>
      <c r="P845" s="74">
        <f t="shared" si="303"/>
        <v>0.302379453498394</v>
      </c>
    </row>
    <row r="846" spans="2:16" ht="13.5">
      <c r="B846" s="74">
        <f t="shared" si="295"/>
        <v>43.06738431114203</v>
      </c>
      <c r="C846" s="70">
        <f t="shared" si="307"/>
        <v>56.3146</v>
      </c>
      <c r="D846" s="70">
        <f t="shared" si="308"/>
        <v>77</v>
      </c>
      <c r="E846" s="74">
        <f t="shared" si="296"/>
        <v>0.9828751869435988</v>
      </c>
      <c r="F846" s="74">
        <f t="shared" si="297"/>
        <v>1.3439035240356338</v>
      </c>
      <c r="G846" s="74">
        <f t="shared" si="298"/>
        <v>100.89885537046587</v>
      </c>
      <c r="H846" s="74">
        <f t="shared" si="299"/>
        <v>26.34648681054474</v>
      </c>
      <c r="I846" s="74">
        <f t="shared" si="305"/>
        <v>34.9476724316321</v>
      </c>
      <c r="J846" s="74">
        <f t="shared" si="309"/>
        <v>26.34648681054474</v>
      </c>
      <c r="K846" s="74">
        <f t="shared" si="306"/>
        <v>37.4577988480803</v>
      </c>
      <c r="L846" s="74">
        <f t="shared" si="300"/>
        <v>1.9319061275832015</v>
      </c>
      <c r="M846" s="74">
        <f t="shared" si="310"/>
        <v>3.409415373203253</v>
      </c>
      <c r="N846" s="74">
        <f t="shared" si="301"/>
        <v>0.2894370209242849</v>
      </c>
      <c r="O846" s="74">
        <f t="shared" si="302"/>
        <v>58.887217246311295</v>
      </c>
      <c r="P846" s="74">
        <f t="shared" si="303"/>
        <v>0.31039650457123624</v>
      </c>
    </row>
    <row r="847" spans="2:16" ht="13.5">
      <c r="B847" s="74">
        <f t="shared" si="295"/>
        <v>42.87665435680099</v>
      </c>
      <c r="C847" s="70">
        <f t="shared" si="307"/>
        <v>56.3146</v>
      </c>
      <c r="D847" s="70">
        <f t="shared" si="308"/>
        <v>78</v>
      </c>
      <c r="E847" s="74">
        <f t="shared" si="296"/>
        <v>0.9828751869435988</v>
      </c>
      <c r="F847" s="74">
        <f t="shared" si="297"/>
        <v>1.361356816555577</v>
      </c>
      <c r="G847" s="74">
        <f t="shared" si="298"/>
        <v>100.89885537046587</v>
      </c>
      <c r="H847" s="74">
        <f t="shared" si="299"/>
        <v>24.40614891650218</v>
      </c>
      <c r="I847" s="74">
        <f t="shared" si="305"/>
        <v>32.17574952279962</v>
      </c>
      <c r="J847" s="74">
        <f t="shared" si="309"/>
        <v>24.40614891650218</v>
      </c>
      <c r="K847" s="74">
        <f t="shared" si="306"/>
        <v>36.370545849157565</v>
      </c>
      <c r="L847" s="74">
        <f t="shared" si="300"/>
        <v>1.9493594201031446</v>
      </c>
      <c r="M847" s="74">
        <f t="shared" si="310"/>
        <v>3.4325630767730444</v>
      </c>
      <c r="N847" s="74">
        <f t="shared" si="301"/>
        <v>0.23166750165393885</v>
      </c>
      <c r="O847" s="74">
        <f t="shared" si="302"/>
        <v>57.69622943853125</v>
      </c>
      <c r="P847" s="74">
        <f t="shared" si="303"/>
        <v>0.31981705618290357</v>
      </c>
    </row>
    <row r="848" spans="2:16" ht="13.5">
      <c r="B848" s="74">
        <f t="shared" si="295"/>
        <v>42.65763354930489</v>
      </c>
      <c r="C848" s="70">
        <f t="shared" si="307"/>
        <v>56.3146</v>
      </c>
      <c r="D848" s="70">
        <f t="shared" si="308"/>
        <v>79</v>
      </c>
      <c r="E848" s="74">
        <f t="shared" si="296"/>
        <v>0.9828751869435988</v>
      </c>
      <c r="F848" s="74">
        <f t="shared" si="297"/>
        <v>1.3788101090755203</v>
      </c>
      <c r="G848" s="74">
        <f t="shared" si="298"/>
        <v>100.89885537046587</v>
      </c>
      <c r="H848" s="74">
        <f t="shared" si="299"/>
        <v>22.438680258289008</v>
      </c>
      <c r="I848" s="74">
        <f t="shared" si="305"/>
        <v>29.424319295722153</v>
      </c>
      <c r="J848" s="74">
        <f t="shared" si="309"/>
        <v>22.438680258289008</v>
      </c>
      <c r="K848" s="74">
        <f t="shared" si="306"/>
        <v>35.29133085505204</v>
      </c>
      <c r="L848" s="74">
        <f t="shared" si="300"/>
        <v>1.9668127126230877</v>
      </c>
      <c r="M848" s="74">
        <f t="shared" si="310"/>
        <v>3.4570875053272205</v>
      </c>
      <c r="N848" s="74">
        <f t="shared" si="301"/>
        <v>0.17309022039101127</v>
      </c>
      <c r="O848" s="74">
        <f t="shared" si="302"/>
        <v>56.521918718341155</v>
      </c>
      <c r="P848" s="74">
        <f t="shared" si="303"/>
        <v>0.33066566839916456</v>
      </c>
    </row>
    <row r="849" spans="2:16" ht="13.5">
      <c r="B849" s="74">
        <f t="shared" si="295"/>
        <v>42.40994048551667</v>
      </c>
      <c r="C849" s="70">
        <f t="shared" si="307"/>
        <v>56.3146</v>
      </c>
      <c r="D849" s="70">
        <f t="shared" si="308"/>
        <v>80</v>
      </c>
      <c r="E849" s="74">
        <f t="shared" si="296"/>
        <v>0.9828751869435988</v>
      </c>
      <c r="F849" s="74">
        <f t="shared" si="297"/>
        <v>1.3962634015954636</v>
      </c>
      <c r="G849" s="74">
        <f t="shared" si="298"/>
        <v>100.89885537046587</v>
      </c>
      <c r="H849" s="74">
        <f t="shared" si="299"/>
        <v>20.442283082501756</v>
      </c>
      <c r="I849" s="74">
        <f t="shared" si="305"/>
        <v>26.691496704743898</v>
      </c>
      <c r="J849" s="74">
        <f t="shared" si="309"/>
        <v>20.442283082501756</v>
      </c>
      <c r="K849" s="74">
        <f t="shared" si="306"/>
        <v>34.21941447956511</v>
      </c>
      <c r="L849" s="74">
        <f t="shared" si="300"/>
        <v>1.9842660051430312</v>
      </c>
      <c r="M849" s="74">
        <f t="shared" si="310"/>
        <v>3.483033492591896</v>
      </c>
      <c r="N849" s="74">
        <f t="shared" si="301"/>
        <v>0.1136516527724497</v>
      </c>
      <c r="O849" s="74">
        <f t="shared" si="302"/>
        <v>55.362245449941575</v>
      </c>
      <c r="P849" s="74">
        <f t="shared" si="303"/>
        <v>0.3429711369932067</v>
      </c>
    </row>
    <row r="850" spans="2:16" ht="13.5">
      <c r="B850" s="74">
        <f t="shared" si="295"/>
        <v>42.13310927200628</v>
      </c>
      <c r="C850" s="70">
        <f t="shared" si="307"/>
        <v>56.3146</v>
      </c>
      <c r="D850" s="70">
        <f t="shared" si="308"/>
        <v>81</v>
      </c>
      <c r="E850" s="74">
        <f t="shared" si="296"/>
        <v>0.9828751869435988</v>
      </c>
      <c r="F850" s="74">
        <f t="shared" si="297"/>
        <v>1.413716694115407</v>
      </c>
      <c r="G850" s="74">
        <f t="shared" si="298"/>
        <v>100.89885537046587</v>
      </c>
      <c r="H850" s="74">
        <f t="shared" si="299"/>
        <v>18.415070572518374</v>
      </c>
      <c r="I850" s="74">
        <f t="shared" si="305"/>
        <v>23.97544465412669</v>
      </c>
      <c r="J850" s="74">
        <f t="shared" si="309"/>
        <v>18.415070572518374</v>
      </c>
      <c r="K850" s="74">
        <f t="shared" si="306"/>
        <v>33.15407614426935</v>
      </c>
      <c r="L850" s="74">
        <f t="shared" si="300"/>
        <v>2.0017192976629743</v>
      </c>
      <c r="M850" s="74">
        <f t="shared" si="310"/>
        <v>3.510449285294637</v>
      </c>
      <c r="N850" s="74">
        <f t="shared" si="301"/>
        <v>0.053295622763378</v>
      </c>
      <c r="O850" s="74">
        <f t="shared" si="302"/>
        <v>54.215181396576185</v>
      </c>
      <c r="P850" s="74">
        <f t="shared" si="303"/>
        <v>0.35676602014443315</v>
      </c>
    </row>
    <row r="851" spans="2:16" ht="13.5">
      <c r="B851" s="74">
        <f t="shared" si="295"/>
        <v>43.58139335706504</v>
      </c>
      <c r="C851" s="70">
        <f t="shared" si="307"/>
        <v>56.3146</v>
      </c>
      <c r="D851" s="70">
        <f t="shared" si="308"/>
        <v>82</v>
      </c>
      <c r="E851" s="74">
        <f t="shared" si="296"/>
        <v>0.9828751869435988</v>
      </c>
      <c r="F851" s="74">
        <f t="shared" si="297"/>
        <v>1.43116998663535</v>
      </c>
      <c r="G851" s="74">
        <f t="shared" si="298"/>
        <v>100.89885537046587</v>
      </c>
      <c r="H851" s="74">
        <f t="shared" si="299"/>
        <v>21.274368853074545</v>
      </c>
      <c r="I851" s="74">
        <f t="shared" si="305"/>
        <v>21.274368853074545</v>
      </c>
      <c r="J851" s="74">
        <f t="shared" si="309"/>
        <v>16.355059041525283</v>
      </c>
      <c r="K851" s="74">
        <f t="shared" si="306"/>
        <v>32.09461206045451</v>
      </c>
      <c r="L851" s="74">
        <f t="shared" si="300"/>
        <v>2.0191725901829174</v>
      </c>
      <c r="M851" s="74">
        <f t="shared" si="310"/>
        <v>3.539386779747792</v>
      </c>
      <c r="N851" s="74">
        <f t="shared" si="301"/>
        <v>-0.008036929779261789</v>
      </c>
      <c r="O851" s="74">
        <f t="shared" si="302"/>
        <v>55.30558200835863</v>
      </c>
      <c r="P851" s="74">
        <f t="shared" si="303"/>
        <v>0.2851450075147469</v>
      </c>
    </row>
    <row r="852" spans="2:16" ht="13.5">
      <c r="B852" s="74">
        <f t="shared" si="295"/>
        <v>43.0484370087392</v>
      </c>
      <c r="C852" s="70">
        <f t="shared" si="307"/>
        <v>56.3146</v>
      </c>
      <c r="D852" s="70">
        <f t="shared" si="308"/>
        <v>83</v>
      </c>
      <c r="E852" s="74">
        <f t="shared" si="296"/>
        <v>0.9828751869435988</v>
      </c>
      <c r="F852" s="74">
        <f t="shared" si="297"/>
        <v>1.4486232791552935</v>
      </c>
      <c r="G852" s="74">
        <f t="shared" si="298"/>
        <v>100.89885537046587</v>
      </c>
      <c r="H852" s="74">
        <f t="shared" si="299"/>
        <v>18.586512906677186</v>
      </c>
      <c r="I852" s="74">
        <f t="shared" si="305"/>
        <v>18.586512906677186</v>
      </c>
      <c r="J852" s="74">
        <f t="shared" si="309"/>
        <v>14.26015943222883</v>
      </c>
      <c r="K852" s="74">
        <f t="shared" si="306"/>
        <v>31.040333303609955</v>
      </c>
      <c r="L852" s="74">
        <f t="shared" si="300"/>
        <v>2.036625882702861</v>
      </c>
      <c r="M852" s="74">
        <f t="shared" si="310"/>
        <v>3.569901782381449</v>
      </c>
      <c r="N852" s="74">
        <f t="shared" si="301"/>
        <v>-0.0704082021850964</v>
      </c>
      <c r="O852" s="74">
        <f t="shared" si="302"/>
        <v>53.90248300653448</v>
      </c>
      <c r="P852" s="74">
        <f t="shared" si="303"/>
        <v>0.31133118937100446</v>
      </c>
    </row>
    <row r="853" spans="2:16" ht="13.5">
      <c r="B853" s="74">
        <f t="shared" si="295"/>
        <v>42.49777113801241</v>
      </c>
      <c r="C853" s="70">
        <f t="shared" si="307"/>
        <v>56.3146</v>
      </c>
      <c r="D853" s="70">
        <f t="shared" si="308"/>
        <v>84</v>
      </c>
      <c r="E853" s="74">
        <f t="shared" si="296"/>
        <v>0.9828751869435988</v>
      </c>
      <c r="F853" s="74">
        <f t="shared" si="297"/>
        <v>1.4660765716752369</v>
      </c>
      <c r="G853" s="74">
        <f t="shared" si="298"/>
        <v>100.89885537046587</v>
      </c>
      <c r="H853" s="74">
        <f t="shared" si="299"/>
        <v>15.910153613341771</v>
      </c>
      <c r="I853" s="74">
        <f t="shared" si="305"/>
        <v>15.910153613341771</v>
      </c>
      <c r="J853" s="74">
        <f t="shared" si="309"/>
        <v>12.128168042573405</v>
      </c>
      <c r="K853" s="74">
        <f t="shared" si="306"/>
        <v>29.990563968899536</v>
      </c>
      <c r="L853" s="74">
        <f t="shared" si="300"/>
        <v>2.0540791752228045</v>
      </c>
      <c r="M853" s="74">
        <f t="shared" si="310"/>
        <v>3.602054296824678</v>
      </c>
      <c r="N853" s="74">
        <f t="shared" si="301"/>
        <v>-0.1338838050927462</v>
      </c>
      <c r="O853" s="74">
        <f t="shared" si="302"/>
        <v>52.530134018811935</v>
      </c>
      <c r="P853" s="74">
        <f t="shared" si="303"/>
        <v>0.33860343736728</v>
      </c>
    </row>
    <row r="854" spans="2:16" ht="13.5">
      <c r="B854" s="74">
        <f t="shared" si="295"/>
        <v>41.92935341384508</v>
      </c>
      <c r="C854" s="70">
        <f t="shared" si="307"/>
        <v>56.3146</v>
      </c>
      <c r="D854" s="70">
        <f>D823</f>
        <v>85</v>
      </c>
      <c r="E854" s="74">
        <f t="shared" si="296"/>
        <v>0.9828751869435988</v>
      </c>
      <c r="F854" s="74">
        <f t="shared" si="297"/>
        <v>1.4835298641951802</v>
      </c>
      <c r="G854" s="74">
        <f t="shared" si="298"/>
        <v>100.89885537046587</v>
      </c>
      <c r="H854" s="74">
        <f t="shared" si="299"/>
        <v>13.24359644123674</v>
      </c>
      <c r="I854" s="74">
        <f t="shared" si="305"/>
        <v>13.24359644123674</v>
      </c>
      <c r="J854" s="74">
        <f t="shared" si="309"/>
        <v>9.956756386451493</v>
      </c>
      <c r="K854" s="74">
        <f t="shared" si="306"/>
        <v>28.944639396851734</v>
      </c>
      <c r="L854" s="74">
        <f t="shared" si="300"/>
        <v>2.0715324677427476</v>
      </c>
      <c r="M854" s="74">
        <f t="shared" si="310"/>
        <v>3.6359088404790922</v>
      </c>
      <c r="N854" s="74">
        <f t="shared" si="301"/>
        <v>-0.1985330643260647</v>
      </c>
      <c r="O854" s="74">
        <f t="shared" si="302"/>
        <v>51.18628917082048</v>
      </c>
      <c r="P854" s="74">
        <f t="shared" si="303"/>
        <v>0.3669448284304817</v>
      </c>
    </row>
    <row r="855" spans="2:16" ht="13.5">
      <c r="B855" s="74">
        <f t="shared" si="295"/>
        <v>41.34309408531228</v>
      </c>
      <c r="C855" s="70">
        <f t="shared" si="307"/>
        <v>56.3146</v>
      </c>
      <c r="D855" s="70">
        <f t="shared" si="308"/>
        <v>86</v>
      </c>
      <c r="E855" s="74">
        <f t="shared" si="296"/>
        <v>0.9828751869435988</v>
      </c>
      <c r="F855" s="74">
        <f t="shared" si="297"/>
        <v>1.5009831567151233</v>
      </c>
      <c r="G855" s="74">
        <f t="shared" si="298"/>
        <v>100.89885537046587</v>
      </c>
      <c r="H855" s="74">
        <f t="shared" si="299"/>
        <v>10.585171157948913</v>
      </c>
      <c r="I855" s="74">
        <f t="shared" si="305"/>
        <v>10.585171157948913</v>
      </c>
      <c r="J855" s="74">
        <f t="shared" si="309"/>
        <v>7.743460086500027</v>
      </c>
      <c r="K855" s="74">
        <f t="shared" si="306"/>
        <v>27.90190445914594</v>
      </c>
      <c r="L855" s="74">
        <f t="shared" si="300"/>
        <v>2.0889857602626907</v>
      </c>
      <c r="M855" s="74">
        <f t="shared" si="310"/>
        <v>3.6715347939252476</v>
      </c>
      <c r="N855" s="74">
        <f t="shared" si="301"/>
        <v>-0.26442935158799213</v>
      </c>
      <c r="O855" s="74">
        <f t="shared" si="302"/>
        <v>49.86878213238933</v>
      </c>
      <c r="P855" s="74">
        <f t="shared" si="303"/>
        <v>0.3963319178372222</v>
      </c>
    </row>
    <row r="856" spans="2:16" ht="13.5">
      <c r="B856" s="74">
        <f>O856*SIN(F856-F$4)</f>
        <v>40.7388567593558</v>
      </c>
      <c r="C856" s="70">
        <f t="shared" si="307"/>
        <v>56.3146</v>
      </c>
      <c r="D856" s="70">
        <f t="shared" si="308"/>
        <v>87</v>
      </c>
      <c r="E856" s="74">
        <f t="shared" si="296"/>
        <v>0.9828751869435988</v>
      </c>
      <c r="F856" s="74">
        <f t="shared" si="297"/>
        <v>1.5184364492350666</v>
      </c>
      <c r="G856" s="74">
        <f t="shared" si="298"/>
        <v>100.89885537046587</v>
      </c>
      <c r="H856" s="74">
        <f t="shared" si="299"/>
        <v>7.933227588970383</v>
      </c>
      <c r="I856" s="74">
        <f t="shared" si="305"/>
        <v>7.933227588970383</v>
      </c>
      <c r="J856" s="74">
        <f t="shared" si="309"/>
        <v>5.4856666823648865</v>
      </c>
      <c r="K856" s="74">
        <f t="shared" si="306"/>
        <v>26.861711894930572</v>
      </c>
      <c r="L856" s="74">
        <f t="shared" si="300"/>
        <v>2.106439052782634</v>
      </c>
      <c r="M856" s="74">
        <f t="shared" si="310"/>
        <v>3.7090067869585464</v>
      </c>
      <c r="N856" s="74">
        <f t="shared" si="301"/>
        <v>-0.3316504474440855</v>
      </c>
      <c r="O856" s="74">
        <f t="shared" si="302"/>
        <v>48.575517391957476</v>
      </c>
      <c r="P856" s="74">
        <f t="shared" si="303"/>
        <v>0.4267339483859351</v>
      </c>
    </row>
    <row r="857" spans="2:16" ht="13.5">
      <c r="B857" s="74">
        <f aca="true" t="shared" si="311" ref="B857:B920">O857*SIN(F857-F$4)</f>
        <v>40.116458913874055</v>
      </c>
      <c r="C857" s="70">
        <f t="shared" si="307"/>
        <v>56.3146</v>
      </c>
      <c r="D857" s="70">
        <f t="shared" si="308"/>
        <v>88</v>
      </c>
      <c r="E857" s="74">
        <f t="shared" si="296"/>
        <v>0.9828751869435988</v>
      </c>
      <c r="F857" s="74">
        <f t="shared" si="297"/>
        <v>1.53588974175501</v>
      </c>
      <c r="G857" s="74">
        <f t="shared" si="298"/>
        <v>100.89885537046587</v>
      </c>
      <c r="H857" s="74">
        <f t="shared" si="299"/>
        <v>5.286131481813329</v>
      </c>
      <c r="I857" s="74">
        <f t="shared" si="305"/>
        <v>5.286131481813329</v>
      </c>
      <c r="J857" s="74">
        <f t="shared" si="309"/>
        <v>3.180602221976846</v>
      </c>
      <c r="K857" s="74">
        <f t="shared" si="306"/>
        <v>25.823420688572526</v>
      </c>
      <c r="L857" s="74">
        <f t="shared" si="300"/>
        <v>2.1238923453025773</v>
      </c>
      <c r="M857" s="74">
        <f t="shared" si="310"/>
        <v>3.7484051255774977</v>
      </c>
      <c r="N857" s="74">
        <f t="shared" si="301"/>
        <v>-0.4002789405393484</v>
      </c>
      <c r="O857" s="74">
        <f t="shared" si="302"/>
        <v>47.30446197060315</v>
      </c>
      <c r="P857" s="74">
        <f t="shared" si="303"/>
        <v>0.45811215376358455</v>
      </c>
    </row>
    <row r="858" spans="2:16" ht="13.5">
      <c r="B858" s="74">
        <f t="shared" si="311"/>
        <v>39.475672155102785</v>
      </c>
      <c r="C858" s="70">
        <f t="shared" si="307"/>
        <v>56.3146</v>
      </c>
      <c r="D858" s="70">
        <f>D827</f>
        <v>89</v>
      </c>
      <c r="E858" s="74">
        <f t="shared" si="296"/>
        <v>0.9828751869435988</v>
      </c>
      <c r="F858" s="74">
        <f t="shared" si="297"/>
        <v>1.5533430342749535</v>
      </c>
      <c r="G858" s="74">
        <f t="shared" si="298"/>
        <v>100.89885537046587</v>
      </c>
      <c r="H858" s="74">
        <f t="shared" si="299"/>
        <v>2.642260453508916</v>
      </c>
      <c r="I858" s="74">
        <f t="shared" si="305"/>
        <v>2.642260453508916</v>
      </c>
      <c r="J858" s="74">
        <f t="shared" si="309"/>
        <v>0.8253164850416557</v>
      </c>
      <c r="K858" s="74">
        <f t="shared" si="306"/>
        <v>24.78639448011291</v>
      </c>
      <c r="L858" s="74">
        <f t="shared" si="300"/>
        <v>2.141345637822521</v>
      </c>
      <c r="M858" s="74">
        <f t="shared" si="310"/>
        <v>3.7898162648555984</v>
      </c>
      <c r="N858" s="74">
        <f t="shared" si="301"/>
        <v>-0.47040266753803595</v>
      </c>
      <c r="O858" s="74">
        <f t="shared" si="302"/>
        <v>46.05363751366618</v>
      </c>
      <c r="P858" s="74">
        <f t="shared" si="303"/>
        <v>0.49041919561475794</v>
      </c>
    </row>
    <row r="859" spans="2:16" ht="13.5">
      <c r="B859" s="74">
        <f t="shared" si="311"/>
        <v>38.81622222576886</v>
      </c>
      <c r="C859" s="70">
        <f t="shared" si="307"/>
        <v>56.3146</v>
      </c>
      <c r="D859" s="70">
        <f t="shared" si="308"/>
        <v>90</v>
      </c>
      <c r="E859" s="74">
        <f t="shared" si="296"/>
        <v>0.9828751869435988</v>
      </c>
      <c r="F859" s="74">
        <f t="shared" si="297"/>
        <v>1.5707963267948966</v>
      </c>
      <c r="G859" s="74">
        <f t="shared" si="298"/>
        <v>100.89885537046587</v>
      </c>
      <c r="H859" s="74">
        <f t="shared" si="299"/>
        <v>9.272842368089618E-15</v>
      </c>
      <c r="I859" s="74">
        <f t="shared" si="305"/>
        <v>9.272842368089618E-15</v>
      </c>
      <c r="J859" s="74">
        <f t="shared" si="309"/>
        <v>-1.5833333333333073</v>
      </c>
      <c r="K859" s="74">
        <f t="shared" si="306"/>
        <v>23.750000000000007</v>
      </c>
      <c r="L859" s="74">
        <f t="shared" si="300"/>
        <v>2.158798930342464</v>
      </c>
      <c r="M859" s="74">
        <f t="shared" si="310"/>
        <v>3.8333333333333317</v>
      </c>
      <c r="N859" s="74">
        <f t="shared" si="301"/>
        <v>-0.5421151989096857</v>
      </c>
      <c r="O859" s="74">
        <f t="shared" si="302"/>
        <v>44.82111270194397</v>
      </c>
      <c r="P859" s="74">
        <f t="shared" si="303"/>
        <v>0.5235987755982985</v>
      </c>
    </row>
    <row r="860" spans="2:16" ht="13.5">
      <c r="B860" s="74">
        <f t="shared" si="311"/>
        <v>41.95314888200878</v>
      </c>
      <c r="C860" s="70">
        <f>C859+J793</f>
        <v>56.468199999999996</v>
      </c>
      <c r="D860" s="70">
        <f>D829</f>
        <v>60</v>
      </c>
      <c r="E860" s="74">
        <f t="shared" si="296"/>
        <v>0.985556012674662</v>
      </c>
      <c r="F860" s="74">
        <f t="shared" si="297"/>
        <v>1.0471975511965976</v>
      </c>
      <c r="G860" s="74">
        <f t="shared" si="298"/>
        <v>100.31379308454402</v>
      </c>
      <c r="H860" s="74">
        <f t="shared" si="299"/>
        <v>56.61327536344993</v>
      </c>
      <c r="I860" s="74">
        <f t="shared" si="305"/>
        <v>87.39639699857963</v>
      </c>
      <c r="J860" s="74">
        <f t="shared" si="309"/>
        <v>56.61327536344993</v>
      </c>
      <c r="K860" s="74">
        <f t="shared" si="306"/>
        <v>58.03017223313404</v>
      </c>
      <c r="L860" s="74">
        <f t="shared" si="300"/>
        <v>1.6352001547441652</v>
      </c>
      <c r="M860" s="74">
        <f t="shared" si="310"/>
        <v>3.196152422706631</v>
      </c>
      <c r="N860" s="74">
        <f t="shared" si="301"/>
        <v>1.1905676074715958</v>
      </c>
      <c r="O860" s="74">
        <f t="shared" si="302"/>
        <v>83.90629776401758</v>
      </c>
      <c r="P860" s="74">
        <f t="shared" si="303"/>
        <v>0.3654260296057309</v>
      </c>
    </row>
    <row r="861" spans="2:16" ht="13.5">
      <c r="B861" s="74">
        <f t="shared" si="311"/>
        <v>42.265547065657145</v>
      </c>
      <c r="C861" s="70">
        <f>C860</f>
        <v>56.468199999999996</v>
      </c>
      <c r="D861" s="70">
        <f aca="true" t="shared" si="312" ref="D861:D924">D830</f>
        <v>61</v>
      </c>
      <c r="E861" s="74">
        <f t="shared" si="296"/>
        <v>0.985556012674662</v>
      </c>
      <c r="F861" s="74">
        <f t="shared" si="297"/>
        <v>1.064650843716541</v>
      </c>
      <c r="G861" s="74">
        <f t="shared" si="298"/>
        <v>100.31379308454402</v>
      </c>
      <c r="H861" s="74">
        <f t="shared" si="299"/>
        <v>54.91741842603781</v>
      </c>
      <c r="I861" s="74">
        <f t="shared" si="305"/>
        <v>83.90853266366291</v>
      </c>
      <c r="J861" s="74">
        <f t="shared" si="309"/>
        <v>54.91741842603781</v>
      </c>
      <c r="K861" s="74">
        <f t="shared" si="306"/>
        <v>56.662099930008154</v>
      </c>
      <c r="L861" s="74">
        <f t="shared" si="300"/>
        <v>1.6526534472641083</v>
      </c>
      <c r="M861" s="74">
        <f t="shared" si="310"/>
        <v>3.200241894286732</v>
      </c>
      <c r="N861" s="74">
        <f t="shared" si="301"/>
        <v>1.1400769994561701</v>
      </c>
      <c r="O861" s="74">
        <f t="shared" si="302"/>
        <v>82.06295636111635</v>
      </c>
      <c r="P861" s="74">
        <f t="shared" si="303"/>
        <v>0.34991931109988705</v>
      </c>
    </row>
    <row r="862" spans="2:16" ht="13.5">
      <c r="B862" s="74">
        <f t="shared" si="311"/>
        <v>42.54318598757244</v>
      </c>
      <c r="C862" s="70">
        <f aca="true" t="shared" si="313" ref="C862:C890">C861</f>
        <v>56.468199999999996</v>
      </c>
      <c r="D862" s="70">
        <f t="shared" si="312"/>
        <v>62</v>
      </c>
      <c r="E862" s="74">
        <f t="shared" si="296"/>
        <v>0.985556012674662</v>
      </c>
      <c r="F862" s="74">
        <f t="shared" si="297"/>
        <v>1.0821041362364843</v>
      </c>
      <c r="G862" s="74">
        <f t="shared" si="298"/>
        <v>100.31379308454402</v>
      </c>
      <c r="H862" s="74">
        <f t="shared" si="299"/>
        <v>53.21669751699319</v>
      </c>
      <c r="I862" s="74">
        <f t="shared" si="305"/>
        <v>80.48751521775635</v>
      </c>
      <c r="J862" s="74">
        <f t="shared" si="309"/>
        <v>53.21669751699319</v>
      </c>
      <c r="K862" s="74">
        <f t="shared" si="306"/>
        <v>55.3202475049003</v>
      </c>
      <c r="L862" s="74">
        <f t="shared" si="300"/>
        <v>1.6701067397840519</v>
      </c>
      <c r="M862" s="74">
        <f>J$18/SIN(L862)*SIN(J$19)</f>
        <v>3.205319466443784</v>
      </c>
      <c r="N862" s="74">
        <f t="shared" si="301"/>
        <v>1.0894415768165406</v>
      </c>
      <c r="O862" s="74">
        <f t="shared" si="302"/>
        <v>80.28239178874274</v>
      </c>
      <c r="P862" s="74">
        <f t="shared" si="303"/>
        <v>0.33618299075241004</v>
      </c>
    </row>
    <row r="863" spans="2:16" ht="13.5">
      <c r="B863" s="74">
        <f t="shared" si="311"/>
        <v>42.78722112637158</v>
      </c>
      <c r="C863" s="70">
        <f t="shared" si="313"/>
        <v>56.468199999999996</v>
      </c>
      <c r="D863" s="70">
        <f t="shared" si="312"/>
        <v>63</v>
      </c>
      <c r="E863" s="74">
        <f aca="true" t="shared" si="314" ref="E863:E926">C863*PI()/180</f>
        <v>0.985556012674662</v>
      </c>
      <c r="F863" s="74">
        <f aca="true" t="shared" si="315" ref="F863:F926">D863*PI()/180</f>
        <v>1.0995574287564276</v>
      </c>
      <c r="G863" s="74">
        <f aca="true" t="shared" si="316" ref="G863:G926">(0.5*$D$3*$D$9+$D$5)*$D$9/TAN(E863)</f>
        <v>100.31379308454402</v>
      </c>
      <c r="H863" s="74">
        <f aca="true" t="shared" si="317" ref="H863:H926">IF(D863&gt;$F$17,I863,IF(D863&lt;$F$16,K863,J863))</f>
        <v>51.51005054407396</v>
      </c>
      <c r="I863" s="74">
        <f t="shared" si="305"/>
        <v>77.12941491721917</v>
      </c>
      <c r="J863" s="74">
        <f t="shared" si="309"/>
        <v>51.51005054407396</v>
      </c>
      <c r="K863" s="74">
        <f t="shared" si="306"/>
        <v>54.00307356373172</v>
      </c>
      <c r="L863" s="74">
        <f aca="true" t="shared" si="318" ref="L863:L926">F863+D$14</f>
        <v>1.687560032303995</v>
      </c>
      <c r="M863" s="74">
        <f>J$18/SIN(L863)*SIN(J$19)</f>
        <v>3.2113929525108333</v>
      </c>
      <c r="N863" s="74">
        <f aca="true" t="shared" si="319" ref="N863:N926">M863*SIN(D$17-F863)</f>
        <v>1.0386297179684278</v>
      </c>
      <c r="O863" s="74">
        <f aca="true" t="shared" si="320" ref="O863:O926">SIN(E863-F$4)/SIN(E863+F863-2*F$4)*(G863+H863)</f>
        <v>78.56069502104461</v>
      </c>
      <c r="P863" s="74">
        <f aca="true" t="shared" si="321" ref="P863:P926">ATAN((O863*COS(F863-F$4)-H863)/(O863*SIN(F863-F$4)))</f>
        <v>0.32414833457420383</v>
      </c>
    </row>
    <row r="864" spans="2:16" ht="13.5">
      <c r="B864" s="74">
        <f t="shared" si="311"/>
        <v>42.99868493209783</v>
      </c>
      <c r="C864" s="70">
        <f t="shared" si="313"/>
        <v>56.468199999999996</v>
      </c>
      <c r="D864" s="70">
        <f t="shared" si="312"/>
        <v>64</v>
      </c>
      <c r="E864" s="74">
        <f t="shared" si="314"/>
        <v>0.985556012674662</v>
      </c>
      <c r="F864" s="74">
        <f t="shared" si="315"/>
        <v>1.117010721276371</v>
      </c>
      <c r="G864" s="74">
        <f t="shared" si="316"/>
        <v>100.31379308454402</v>
      </c>
      <c r="H864" s="74">
        <f t="shared" si="317"/>
        <v>49.7964007486329</v>
      </c>
      <c r="I864" s="74">
        <f t="shared" si="305"/>
        <v>73.83052059415728</v>
      </c>
      <c r="J864" s="74">
        <f aca="true" t="shared" si="322" ref="J864:J873">0.5*$J$18*N864*$D$3+$G$18</f>
        <v>49.7964007486329</v>
      </c>
      <c r="K864" s="74">
        <f t="shared" si="306"/>
        <v>52.70912244609802</v>
      </c>
      <c r="L864" s="74">
        <f t="shared" si="318"/>
        <v>1.7050133248239385</v>
      </c>
      <c r="M864" s="74">
        <f aca="true" t="shared" si="323" ref="M864:M873">J$18/SIN(L864)*SIN(J$19)</f>
        <v>3.21847173736185</v>
      </c>
      <c r="N864" s="74">
        <f t="shared" si="319"/>
        <v>0.9876093646658881</v>
      </c>
      <c r="O864" s="74">
        <f t="shared" si="320"/>
        <v>76.89418922382163</v>
      </c>
      <c r="P864" s="74">
        <f t="shared" si="321"/>
        <v>0.31375220356680883</v>
      </c>
    </row>
    <row r="865" spans="2:16" ht="13.5">
      <c r="B865" s="74">
        <f t="shared" si="311"/>
        <v>43.17849458717177</v>
      </c>
      <c r="C865" s="70">
        <f t="shared" si="313"/>
        <v>56.468199999999996</v>
      </c>
      <c r="D865" s="70">
        <f t="shared" si="312"/>
        <v>65</v>
      </c>
      <c r="E865" s="74">
        <f t="shared" si="314"/>
        <v>0.985556012674662</v>
      </c>
      <c r="F865" s="74">
        <f t="shared" si="315"/>
        <v>1.1344640137963142</v>
      </c>
      <c r="G865" s="74">
        <f t="shared" si="316"/>
        <v>100.31379308454402</v>
      </c>
      <c r="H865" s="74">
        <f t="shared" si="317"/>
        <v>48.07465394252364</v>
      </c>
      <c r="I865" s="74">
        <f t="shared" si="305"/>
        <v>70.58732175321292</v>
      </c>
      <c r="J865" s="74">
        <f t="shared" si="322"/>
        <v>48.07465394252364</v>
      </c>
      <c r="K865" s="74">
        <f t="shared" si="306"/>
        <v>51.43701720295304</v>
      </c>
      <c r="L865" s="74">
        <f t="shared" si="318"/>
        <v>1.7224666173438816</v>
      </c>
      <c r="M865" s="74">
        <f t="shared" si="323"/>
        <v>3.2265668130425462</v>
      </c>
      <c r="N865" s="74">
        <f t="shared" si="319"/>
        <v>0.9363479397359457</v>
      </c>
      <c r="O865" s="74">
        <f t="shared" si="320"/>
        <v>75.27940802774754</v>
      </c>
      <c r="P865" s="74">
        <f t="shared" si="321"/>
        <v>0.30493750264429786</v>
      </c>
    </row>
    <row r="866" spans="2:16" ht="13.5">
      <c r="B866" s="74">
        <f t="shared" si="311"/>
        <v>43.32745880405835</v>
      </c>
      <c r="C866" s="70">
        <f t="shared" si="313"/>
        <v>56.468199999999996</v>
      </c>
      <c r="D866" s="70">
        <f t="shared" si="312"/>
        <v>66</v>
      </c>
      <c r="E866" s="74">
        <f t="shared" si="314"/>
        <v>0.985556012674662</v>
      </c>
      <c r="F866" s="74">
        <f t="shared" si="315"/>
        <v>1.1519173063162575</v>
      </c>
      <c r="G866" s="74">
        <f t="shared" si="316"/>
        <v>100.31379308454402</v>
      </c>
      <c r="H866" s="74">
        <f t="shared" si="317"/>
        <v>46.34369565210348</v>
      </c>
      <c r="I866" s="74">
        <f t="shared" si="305"/>
        <v>67.39649223857965</v>
      </c>
      <c r="J866" s="74">
        <f t="shared" si="322"/>
        <v>46.34369565210348</v>
      </c>
      <c r="K866" s="74">
        <f t="shared" si="306"/>
        <v>50.18545319019432</v>
      </c>
      <c r="L866" s="74">
        <f t="shared" si="318"/>
        <v>1.7399199098638252</v>
      </c>
      <c r="M866" s="74">
        <f t="shared" si="323"/>
        <v>3.235690820800044</v>
      </c>
      <c r="N866" s="74">
        <f t="shared" si="319"/>
        <v>0.8848122620472225</v>
      </c>
      <c r="O866" s="74">
        <f t="shared" si="320"/>
        <v>73.71307571102388</v>
      </c>
      <c r="P866" s="74">
        <f t="shared" si="321"/>
        <v>0.297653446641608</v>
      </c>
    </row>
    <row r="867" spans="2:16" ht="13.5">
      <c r="B867" s="74">
        <f t="shared" si="311"/>
        <v>43.446283749535894</v>
      </c>
      <c r="C867" s="70">
        <f t="shared" si="313"/>
        <v>56.468199999999996</v>
      </c>
      <c r="D867" s="70">
        <f t="shared" si="312"/>
        <v>67</v>
      </c>
      <c r="E867" s="74">
        <f t="shared" si="314"/>
        <v>0.985556012674662</v>
      </c>
      <c r="F867" s="74">
        <f t="shared" si="315"/>
        <v>1.1693705988362006</v>
      </c>
      <c r="G867" s="74">
        <f t="shared" si="316"/>
        <v>100.31379308454402</v>
      </c>
      <c r="H867" s="74">
        <f t="shared" si="317"/>
        <v>44.602388153158174</v>
      </c>
      <c r="I867" s="74">
        <f t="shared" si="305"/>
        <v>64.25487530372895</v>
      </c>
      <c r="J867" s="74">
        <f t="shared" si="322"/>
        <v>44.602388153158174</v>
      </c>
      <c r="K867" s="74">
        <f t="shared" si="306"/>
        <v>48.95319221244529</v>
      </c>
      <c r="L867" s="74">
        <f t="shared" si="318"/>
        <v>1.7573732023837683</v>
      </c>
      <c r="M867" s="74">
        <f t="shared" si="323"/>
        <v>3.2458580998131934</v>
      </c>
      <c r="N867" s="74">
        <f t="shared" si="319"/>
        <v>0.8329684582310031</v>
      </c>
      <c r="O867" s="74">
        <f t="shared" si="320"/>
        <v>72.19208906082629</v>
      </c>
      <c r="P867" s="74">
        <f t="shared" si="321"/>
        <v>0.2918556911197977</v>
      </c>
    </row>
    <row r="868" spans="2:16" ht="13.5">
      <c r="B868" s="74">
        <f t="shared" si="311"/>
        <v>43.53557817237762</v>
      </c>
      <c r="C868" s="70">
        <f t="shared" si="313"/>
        <v>56.468199999999996</v>
      </c>
      <c r="D868" s="70">
        <f t="shared" si="312"/>
        <v>68</v>
      </c>
      <c r="E868" s="74">
        <f t="shared" si="314"/>
        <v>0.985556012674662</v>
      </c>
      <c r="F868" s="74">
        <f t="shared" si="315"/>
        <v>1.1868238913561442</v>
      </c>
      <c r="G868" s="74">
        <f t="shared" si="316"/>
        <v>100.31379308454402</v>
      </c>
      <c r="H868" s="74">
        <f t="shared" si="317"/>
        <v>42.84956737955771</v>
      </c>
      <c r="I868" s="74">
        <f t="shared" si="305"/>
        <v>61.15946993579685</v>
      </c>
      <c r="J868" s="74">
        <f t="shared" si="322"/>
        <v>42.84956737955771</v>
      </c>
      <c r="K868" s="74">
        <f t="shared" si="306"/>
        <v>47.739057158962424</v>
      </c>
      <c r="L868" s="74">
        <f t="shared" si="318"/>
        <v>1.7748264949037118</v>
      </c>
      <c r="M868" s="74">
        <f t="shared" si="323"/>
        <v>3.2570847429771757</v>
      </c>
      <c r="N868" s="74">
        <f t="shared" si="319"/>
        <v>0.7807818706428962</v>
      </c>
      <c r="O868" s="74">
        <f t="shared" si="320"/>
        <v>70.7135007097028</v>
      </c>
      <c r="P868" s="74">
        <f t="shared" si="321"/>
        <v>0.28750636570960425</v>
      </c>
    </row>
    <row r="869" spans="2:16" ht="13.5">
      <c r="B869" s="74">
        <f t="shared" si="311"/>
        <v>43.59585779977411</v>
      </c>
      <c r="C869" s="70">
        <f t="shared" si="313"/>
        <v>56.468199999999996</v>
      </c>
      <c r="D869" s="70">
        <f t="shared" si="312"/>
        <v>69</v>
      </c>
      <c r="E869" s="74">
        <f t="shared" si="314"/>
        <v>0.985556012674662</v>
      </c>
      <c r="F869" s="74">
        <f t="shared" si="315"/>
        <v>1.2042771838760873</v>
      </c>
      <c r="G869" s="74">
        <f t="shared" si="316"/>
        <v>100.31379308454402</v>
      </c>
      <c r="H869" s="74">
        <f t="shared" si="317"/>
        <v>41.08403968726031</v>
      </c>
      <c r="I869" s="74">
        <f t="shared" si="305"/>
        <v>58.107418303486085</v>
      </c>
      <c r="J869" s="74">
        <f t="shared" si="322"/>
        <v>41.08403968726031</v>
      </c>
      <c r="K869" s="74">
        <f t="shared" si="306"/>
        <v>46.54192708022782</v>
      </c>
      <c r="L869" s="74">
        <f t="shared" si="318"/>
        <v>1.792279787423655</v>
      </c>
      <c r="M869" s="74">
        <f t="shared" si="323"/>
        <v>3.2693886601519666</v>
      </c>
      <c r="N869" s="74">
        <f t="shared" si="319"/>
        <v>0.7282169610177962</v>
      </c>
      <c r="O869" s="74">
        <f t="shared" si="320"/>
        <v>69.2745037659548</v>
      </c>
      <c r="P869" s="74">
        <f t="shared" si="321"/>
        <v>0.2845740390983569</v>
      </c>
    </row>
    <row r="870" spans="2:16" ht="13.5">
      <c r="B870" s="74">
        <f t="shared" si="311"/>
        <v>43.62754905767321</v>
      </c>
      <c r="C870" s="70">
        <f t="shared" si="313"/>
        <v>56.468199999999996</v>
      </c>
      <c r="D870" s="70">
        <f t="shared" si="312"/>
        <v>70</v>
      </c>
      <c r="E870" s="74">
        <f t="shared" si="314"/>
        <v>0.985556012674662</v>
      </c>
      <c r="F870" s="74">
        <f t="shared" si="315"/>
        <v>1.2217304763960306</v>
      </c>
      <c r="G870" s="74">
        <f t="shared" si="316"/>
        <v>100.31379308454402</v>
      </c>
      <c r="H870" s="74">
        <f t="shared" si="317"/>
        <v>39.30457845389725</v>
      </c>
      <c r="I870" s="74">
        <f t="shared" si="305"/>
        <v>55.09599421204639</v>
      </c>
      <c r="J870" s="74">
        <f t="shared" si="322"/>
        <v>39.30457845389725</v>
      </c>
      <c r="K870" s="74">
        <f t="shared" si="306"/>
        <v>45.360732659555765</v>
      </c>
      <c r="L870" s="74">
        <f t="shared" si="318"/>
        <v>1.809733079943598</v>
      </c>
      <c r="M870" s="74">
        <f t="shared" si="323"/>
        <v>3.2827896493451227</v>
      </c>
      <c r="N870" s="74">
        <f t="shared" si="319"/>
        <v>0.6752372092296027</v>
      </c>
      <c r="O870" s="74">
        <f t="shared" si="320"/>
        <v>67.87241757654374</v>
      </c>
      <c r="P870" s="74">
        <f t="shared" si="321"/>
        <v>0.2830336374288317</v>
      </c>
    </row>
    <row r="871" spans="2:16" ht="13.5">
      <c r="B871" s="74">
        <f t="shared" si="311"/>
        <v>43.630992161157174</v>
      </c>
      <c r="C871" s="70">
        <f t="shared" si="313"/>
        <v>56.468199999999996</v>
      </c>
      <c r="D871" s="70">
        <f t="shared" si="312"/>
        <v>71</v>
      </c>
      <c r="E871" s="74">
        <f t="shared" si="314"/>
        <v>0.985556012674662</v>
      </c>
      <c r="F871" s="74">
        <f t="shared" si="315"/>
        <v>1.239183768915974</v>
      </c>
      <c r="G871" s="74">
        <f t="shared" si="316"/>
        <v>100.31379308454402</v>
      </c>
      <c r="H871" s="74">
        <f t="shared" si="317"/>
        <v>37.50992049257642</v>
      </c>
      <c r="I871" s="74">
        <f t="shared" si="305"/>
        <v>52.12259246172309</v>
      </c>
      <c r="J871" s="74">
        <f t="shared" si="322"/>
        <v>37.50992049257642</v>
      </c>
      <c r="K871" s="74">
        <f t="shared" si="306"/>
        <v>44.19445203907388</v>
      </c>
      <c r="L871" s="74">
        <f t="shared" si="318"/>
        <v>1.8271863724635415</v>
      </c>
      <c r="M871" s="74">
        <f t="shared" si="323"/>
        <v>3.297309476365921</v>
      </c>
      <c r="N871" s="74">
        <f t="shared" si="319"/>
        <v>0.6218050065196917</v>
      </c>
      <c r="O871" s="74">
        <f t="shared" si="320"/>
        <v>66.50467447768101</v>
      </c>
      <c r="P871" s="74">
        <f t="shared" si="321"/>
        <v>0.28286633170390935</v>
      </c>
    </row>
    <row r="872" spans="2:16" ht="13.5">
      <c r="B872" s="74">
        <f t="shared" si="311"/>
        <v>43.60644361282609</v>
      </c>
      <c r="C872" s="70">
        <f t="shared" si="313"/>
        <v>56.468199999999996</v>
      </c>
      <c r="D872" s="70">
        <f t="shared" si="312"/>
        <v>72</v>
      </c>
      <c r="E872" s="74">
        <f t="shared" si="314"/>
        <v>0.985556012674662</v>
      </c>
      <c r="F872" s="74">
        <f t="shared" si="315"/>
        <v>1.2566370614359172</v>
      </c>
      <c r="G872" s="74">
        <f t="shared" si="316"/>
        <v>100.31379308454402</v>
      </c>
      <c r="H872" s="74">
        <f t="shared" si="317"/>
        <v>35.698762256707205</v>
      </c>
      <c r="I872" s="74">
        <f t="shared" si="305"/>
        <v>49.18471901725621</v>
      </c>
      <c r="J872" s="74">
        <f t="shared" si="322"/>
        <v>35.698762256707205</v>
      </c>
      <c r="K872" s="74">
        <f t="shared" si="306"/>
        <v>43.042106963828815</v>
      </c>
      <c r="L872" s="74">
        <f t="shared" si="318"/>
        <v>1.8446396649834846</v>
      </c>
      <c r="M872" s="74">
        <f t="shared" si="323"/>
        <v>3.3129719635610875</v>
      </c>
      <c r="N872" s="74">
        <f t="shared" si="319"/>
        <v>0.5678815425034818</v>
      </c>
      <c r="O872" s="74">
        <f t="shared" si="320"/>
        <v>65.16880740236194</v>
      </c>
      <c r="P872" s="74">
        <f t="shared" si="321"/>
        <v>0.2840594045902889</v>
      </c>
    </row>
    <row r="873" spans="2:16" ht="13.5">
      <c r="B873" s="74">
        <f t="shared" si="311"/>
        <v>43.55407813973514</v>
      </c>
      <c r="C873" s="70">
        <f t="shared" si="313"/>
        <v>56.468199999999996</v>
      </c>
      <c r="D873" s="70">
        <f t="shared" si="312"/>
        <v>73</v>
      </c>
      <c r="E873" s="74">
        <f t="shared" si="314"/>
        <v>0.985556012674662</v>
      </c>
      <c r="F873" s="74">
        <f t="shared" si="315"/>
        <v>1.2740903539558606</v>
      </c>
      <c r="G873" s="74">
        <f t="shared" si="316"/>
        <v>100.31379308454402</v>
      </c>
      <c r="H873" s="74">
        <f t="shared" si="317"/>
        <v>33.86975581055276</v>
      </c>
      <c r="I873" s="74">
        <f t="shared" si="305"/>
        <v>46.27998190580472</v>
      </c>
      <c r="J873" s="74">
        <f t="shared" si="322"/>
        <v>33.86975581055276</v>
      </c>
      <c r="K873" s="74">
        <f t="shared" si="306"/>
        <v>41.90275921160796</v>
      </c>
      <c r="L873" s="74">
        <f t="shared" si="318"/>
        <v>1.8620929575034282</v>
      </c>
      <c r="M873" s="74">
        <f t="shared" si="323"/>
        <v>3.3298030883232532</v>
      </c>
      <c r="N873" s="74">
        <f t="shared" si="319"/>
        <v>0.5134266852020202</v>
      </c>
      <c r="O873" s="74">
        <f t="shared" si="320"/>
        <v>63.86243822601543</v>
      </c>
      <c r="P873" s="74">
        <f t="shared" si="321"/>
        <v>0.28660610258484165</v>
      </c>
    </row>
    <row r="874" spans="2:16" ht="13.5">
      <c r="B874" s="74">
        <f t="shared" si="311"/>
        <v>43.47399009259515</v>
      </c>
      <c r="C874" s="70">
        <f t="shared" si="313"/>
        <v>56.468199999999996</v>
      </c>
      <c r="D874" s="70">
        <f t="shared" si="312"/>
        <v>74</v>
      </c>
      <c r="E874" s="74">
        <f t="shared" si="314"/>
        <v>0.985556012674662</v>
      </c>
      <c r="F874" s="74">
        <f t="shared" si="315"/>
        <v>1.2915436464758039</v>
      </c>
      <c r="G874" s="74">
        <f t="shared" si="316"/>
        <v>100.31379308454402</v>
      </c>
      <c r="H874" s="74">
        <f t="shared" si="317"/>
        <v>32.02150453781869</v>
      </c>
      <c r="I874" s="74">
        <f aca="true" t="shared" si="324" ref="I874:I894">(0.5*$D$3*$D$9+$D$6)*$D$9/TAN(F874)</f>
        <v>43.40608276923955</v>
      </c>
      <c r="J874" s="74">
        <f aca="true" t="shared" si="325" ref="J874:J905">0.5*$J$18*N874*$D$3+$G$18</f>
        <v>32.02150453781869</v>
      </c>
      <c r="K874" s="74">
        <f aca="true" t="shared" si="326" ref="K874:K894">0.5*$D$3*$D$8^2*(1/TAN(F874)-1/TAN($D$16))+$G$19</f>
        <v>40.77550727942922</v>
      </c>
      <c r="L874" s="74">
        <f t="shared" si="318"/>
        <v>1.8795462500233713</v>
      </c>
      <c r="M874" s="74">
        <f aca="true" t="shared" si="327" ref="M874:M905">J$18/SIN(L874)*SIN(J$19)</f>
        <v>3.347831092152982</v>
      </c>
      <c r="N874" s="74">
        <f t="shared" si="319"/>
        <v>0.4583988532741495</v>
      </c>
      <c r="O874" s="74">
        <f t="shared" si="320"/>
        <v>62.58326674141938</v>
      </c>
      <c r="P874" s="74">
        <f t="shared" si="321"/>
        <v>0.29050547564937523</v>
      </c>
    </row>
    <row r="875" spans="2:16" ht="13.5">
      <c r="B875" s="74">
        <f t="shared" si="311"/>
        <v>43.36619432455726</v>
      </c>
      <c r="C875" s="70">
        <f t="shared" si="313"/>
        <v>56.468199999999996</v>
      </c>
      <c r="D875" s="70">
        <f t="shared" si="312"/>
        <v>75</v>
      </c>
      <c r="E875" s="74">
        <f t="shared" si="314"/>
        <v>0.985556012674662</v>
      </c>
      <c r="F875" s="74">
        <f t="shared" si="315"/>
        <v>1.3089969389957472</v>
      </c>
      <c r="G875" s="74">
        <f t="shared" si="316"/>
        <v>100.31379308454402</v>
      </c>
      <c r="H875" s="74">
        <f t="shared" si="317"/>
        <v>30.152558557855457</v>
      </c>
      <c r="I875" s="74">
        <f t="shared" si="324"/>
        <v>40.560809004261195</v>
      </c>
      <c r="J875" s="74">
        <f t="shared" si="325"/>
        <v>30.152558557855457</v>
      </c>
      <c r="K875" s="74">
        <f t="shared" si="326"/>
        <v>39.65948330059791</v>
      </c>
      <c r="L875" s="74">
        <f t="shared" si="318"/>
        <v>1.8969995425433148</v>
      </c>
      <c r="M875" s="74">
        <f t="shared" si="327"/>
        <v>3.3670866011551928</v>
      </c>
      <c r="N875" s="74">
        <f t="shared" si="319"/>
        <v>0.4027548795434824</v>
      </c>
      <c r="O875" s="74">
        <f t="shared" si="320"/>
        <v>61.329060162296024</v>
      </c>
      <c r="P875" s="74">
        <f t="shared" si="321"/>
        <v>0.29576220294917155</v>
      </c>
    </row>
    <row r="876" spans="2:16" ht="13.5">
      <c r="B876" s="74">
        <f t="shared" si="311"/>
        <v>43.23062656083925</v>
      </c>
      <c r="C876" s="70">
        <f t="shared" si="313"/>
        <v>56.468199999999996</v>
      </c>
      <c r="D876" s="70">
        <f t="shared" si="312"/>
        <v>76</v>
      </c>
      <c r="E876" s="74">
        <f t="shared" si="314"/>
        <v>0.985556012674662</v>
      </c>
      <c r="F876" s="74">
        <f t="shared" si="315"/>
        <v>1.3264502315156903</v>
      </c>
      <c r="G876" s="74">
        <f t="shared" si="316"/>
        <v>100.31379308454402</v>
      </c>
      <c r="H876" s="74">
        <f t="shared" si="317"/>
        <v>28.2614098159386</v>
      </c>
      <c r="I876" s="74">
        <f t="shared" si="324"/>
        <v>37.7420264303865</v>
      </c>
      <c r="J876" s="74">
        <f t="shared" si="325"/>
        <v>28.2614098159386</v>
      </c>
      <c r="K876" s="74">
        <f t="shared" si="326"/>
        <v>38.55385016881386</v>
      </c>
      <c r="L876" s="74">
        <f t="shared" si="318"/>
        <v>1.914452835063258</v>
      </c>
      <c r="M876" s="74">
        <f t="shared" si="327"/>
        <v>3.3876027589624966</v>
      </c>
      <c r="N876" s="74">
        <f t="shared" si="319"/>
        <v>0.34644986482172163</v>
      </c>
      <c r="O876" s="74">
        <f t="shared" si="320"/>
        <v>60.09764306171731</v>
      </c>
      <c r="P876" s="74">
        <f t="shared" si="321"/>
        <v>0.302386400083395</v>
      </c>
    </row>
    <row r="877" spans="2:16" ht="13.5">
      <c r="B877" s="74">
        <f t="shared" si="311"/>
        <v>43.067143264605235</v>
      </c>
      <c r="C877" s="70">
        <f t="shared" si="313"/>
        <v>56.468199999999996</v>
      </c>
      <c r="D877" s="70">
        <f t="shared" si="312"/>
        <v>77</v>
      </c>
      <c r="E877" s="74">
        <f t="shared" si="314"/>
        <v>0.985556012674662</v>
      </c>
      <c r="F877" s="74">
        <f t="shared" si="315"/>
        <v>1.3439035240356338</v>
      </c>
      <c r="G877" s="74">
        <f t="shared" si="316"/>
        <v>100.31379308454402</v>
      </c>
      <c r="H877" s="74">
        <f t="shared" si="317"/>
        <v>26.34648681054474</v>
      </c>
      <c r="I877" s="74">
        <f t="shared" si="324"/>
        <v>34.9476724316321</v>
      </c>
      <c r="J877" s="74">
        <f t="shared" si="325"/>
        <v>26.34648681054474</v>
      </c>
      <c r="K877" s="74">
        <f t="shared" si="326"/>
        <v>37.4577988480803</v>
      </c>
      <c r="L877" s="74">
        <f t="shared" si="318"/>
        <v>1.9319061275832015</v>
      </c>
      <c r="M877" s="74">
        <f t="shared" si="327"/>
        <v>3.409415373203253</v>
      </c>
      <c r="N877" s="74">
        <f t="shared" si="319"/>
        <v>0.2894370209242849</v>
      </c>
      <c r="O877" s="74">
        <f t="shared" si="320"/>
        <v>58.886887656762134</v>
      </c>
      <c r="P877" s="74">
        <f t="shared" si="321"/>
        <v>0.3103934000311554</v>
      </c>
    </row>
    <row r="878" spans="2:16" ht="13.5">
      <c r="B878" s="74">
        <f t="shared" si="311"/>
        <v>42.875520998771826</v>
      </c>
      <c r="C878" s="70">
        <f t="shared" si="313"/>
        <v>56.468199999999996</v>
      </c>
      <c r="D878" s="70">
        <f t="shared" si="312"/>
        <v>78</v>
      </c>
      <c r="E878" s="74">
        <f t="shared" si="314"/>
        <v>0.985556012674662</v>
      </c>
      <c r="F878" s="74">
        <f t="shared" si="315"/>
        <v>1.361356816555577</v>
      </c>
      <c r="G878" s="74">
        <f t="shared" si="316"/>
        <v>100.31379308454402</v>
      </c>
      <c r="H878" s="74">
        <f t="shared" si="317"/>
        <v>24.40614891650218</v>
      </c>
      <c r="I878" s="74">
        <f t="shared" si="324"/>
        <v>32.17574952279962</v>
      </c>
      <c r="J878" s="74">
        <f t="shared" si="325"/>
        <v>24.40614891650218</v>
      </c>
      <c r="K878" s="74">
        <f t="shared" si="326"/>
        <v>36.370545849157565</v>
      </c>
      <c r="L878" s="74">
        <f t="shared" si="318"/>
        <v>1.9493594201031446</v>
      </c>
      <c r="M878" s="74">
        <f t="shared" si="327"/>
        <v>3.4325630767730444</v>
      </c>
      <c r="N878" s="74">
        <f t="shared" si="319"/>
        <v>0.23166750165393885</v>
      </c>
      <c r="O878" s="74">
        <f t="shared" si="320"/>
        <v>57.69470435487284</v>
      </c>
      <c r="P878" s="74">
        <f t="shared" si="321"/>
        <v>0.31980349684313225</v>
      </c>
    </row>
    <row r="879" spans="2:16" ht="13.5">
      <c r="B879" s="74">
        <f t="shared" si="311"/>
        <v>42.65545527768049</v>
      </c>
      <c r="C879" s="70">
        <f t="shared" si="313"/>
        <v>56.468199999999996</v>
      </c>
      <c r="D879" s="70">
        <f t="shared" si="312"/>
        <v>79</v>
      </c>
      <c r="E879" s="74">
        <f t="shared" si="314"/>
        <v>0.985556012674662</v>
      </c>
      <c r="F879" s="74">
        <f t="shared" si="315"/>
        <v>1.3788101090755203</v>
      </c>
      <c r="G879" s="74">
        <f t="shared" si="316"/>
        <v>100.31379308454402</v>
      </c>
      <c r="H879" s="74">
        <f t="shared" si="317"/>
        <v>22.438680258289008</v>
      </c>
      <c r="I879" s="74">
        <f t="shared" si="324"/>
        <v>29.424319295722153</v>
      </c>
      <c r="J879" s="74">
        <f t="shared" si="325"/>
        <v>22.438680258289008</v>
      </c>
      <c r="K879" s="74">
        <f t="shared" si="326"/>
        <v>35.29133085505204</v>
      </c>
      <c r="L879" s="74">
        <f t="shared" si="318"/>
        <v>1.9668127126230877</v>
      </c>
      <c r="M879" s="74">
        <f t="shared" si="327"/>
        <v>3.4570875053272205</v>
      </c>
      <c r="N879" s="74">
        <f t="shared" si="319"/>
        <v>0.17309022039101127</v>
      </c>
      <c r="O879" s="74">
        <f t="shared" si="320"/>
        <v>56.51903248013578</v>
      </c>
      <c r="P879" s="74">
        <f t="shared" si="321"/>
        <v>0.3306416378068268</v>
      </c>
    </row>
    <row r="880" spans="2:16" ht="13.5">
      <c r="B880" s="74">
        <f t="shared" si="311"/>
        <v>42.40655889674545</v>
      </c>
      <c r="C880" s="70">
        <f t="shared" si="313"/>
        <v>56.468199999999996</v>
      </c>
      <c r="D880" s="70">
        <f t="shared" si="312"/>
        <v>80</v>
      </c>
      <c r="E880" s="74">
        <f t="shared" si="314"/>
        <v>0.985556012674662</v>
      </c>
      <c r="F880" s="74">
        <f t="shared" si="315"/>
        <v>1.3962634015954636</v>
      </c>
      <c r="G880" s="74">
        <f t="shared" si="316"/>
        <v>100.31379308454402</v>
      </c>
      <c r="H880" s="74">
        <f t="shared" si="317"/>
        <v>20.442283082501756</v>
      </c>
      <c r="I880" s="74">
        <f t="shared" si="324"/>
        <v>26.691496704743898</v>
      </c>
      <c r="J880" s="74">
        <f t="shared" si="325"/>
        <v>20.442283082501756</v>
      </c>
      <c r="K880" s="74">
        <f t="shared" si="326"/>
        <v>34.21941447956511</v>
      </c>
      <c r="L880" s="74">
        <f t="shared" si="318"/>
        <v>1.9842660051430312</v>
      </c>
      <c r="M880" s="74">
        <f t="shared" si="327"/>
        <v>3.483033492591896</v>
      </c>
      <c r="N880" s="74">
        <f t="shared" si="319"/>
        <v>0.1136516527724497</v>
      </c>
      <c r="O880" s="74">
        <f t="shared" si="320"/>
        <v>55.357831099310104</v>
      </c>
      <c r="P880" s="74">
        <f t="shared" si="321"/>
        <v>0.34293704636863587</v>
      </c>
    </row>
    <row r="881" spans="2:16" ht="13.5">
      <c r="B881" s="74">
        <f t="shared" si="311"/>
        <v>42.12835972215226</v>
      </c>
      <c r="C881" s="70">
        <f t="shared" si="313"/>
        <v>56.468199999999996</v>
      </c>
      <c r="D881" s="70">
        <f t="shared" si="312"/>
        <v>81</v>
      </c>
      <c r="E881" s="74">
        <f t="shared" si="314"/>
        <v>0.985556012674662</v>
      </c>
      <c r="F881" s="74">
        <f t="shared" si="315"/>
        <v>1.413716694115407</v>
      </c>
      <c r="G881" s="74">
        <f t="shared" si="316"/>
        <v>100.31379308454402</v>
      </c>
      <c r="H881" s="74">
        <f t="shared" si="317"/>
        <v>18.415070572518374</v>
      </c>
      <c r="I881" s="74">
        <f t="shared" si="324"/>
        <v>23.97544465412669</v>
      </c>
      <c r="J881" s="74">
        <f t="shared" si="325"/>
        <v>18.415070572518374</v>
      </c>
      <c r="K881" s="74">
        <f t="shared" si="326"/>
        <v>33.15407614426935</v>
      </c>
      <c r="L881" s="74">
        <f t="shared" si="318"/>
        <v>2.0017192976629743</v>
      </c>
      <c r="M881" s="74">
        <f t="shared" si="327"/>
        <v>3.510449285294637</v>
      </c>
      <c r="N881" s="74">
        <f t="shared" si="319"/>
        <v>0.053295622763378</v>
      </c>
      <c r="O881" s="74">
        <f t="shared" si="320"/>
        <v>54.20906986786784</v>
      </c>
      <c r="P881" s="74">
        <f t="shared" si="321"/>
        <v>0.3567227545313698</v>
      </c>
    </row>
    <row r="882" spans="2:16" ht="13.5">
      <c r="B882" s="74">
        <f t="shared" si="311"/>
        <v>43.58363918619873</v>
      </c>
      <c r="C882" s="70">
        <f t="shared" si="313"/>
        <v>56.468199999999996</v>
      </c>
      <c r="D882" s="70">
        <f t="shared" si="312"/>
        <v>82</v>
      </c>
      <c r="E882" s="74">
        <f t="shared" si="314"/>
        <v>0.985556012674662</v>
      </c>
      <c r="F882" s="74">
        <f t="shared" si="315"/>
        <v>1.43116998663535</v>
      </c>
      <c r="G882" s="74">
        <f t="shared" si="316"/>
        <v>100.31379308454402</v>
      </c>
      <c r="H882" s="74">
        <f t="shared" si="317"/>
        <v>21.274368853074545</v>
      </c>
      <c r="I882" s="74">
        <f t="shared" si="324"/>
        <v>21.274368853074545</v>
      </c>
      <c r="J882" s="74">
        <f t="shared" si="325"/>
        <v>16.355059041525283</v>
      </c>
      <c r="K882" s="74">
        <f t="shared" si="326"/>
        <v>32.09461206045451</v>
      </c>
      <c r="L882" s="74">
        <f t="shared" si="318"/>
        <v>2.0191725901829174</v>
      </c>
      <c r="M882" s="74">
        <f t="shared" si="327"/>
        <v>3.539386779747792</v>
      </c>
      <c r="N882" s="74">
        <f t="shared" si="319"/>
        <v>-0.008036929779261789</v>
      </c>
      <c r="O882" s="74">
        <f t="shared" si="320"/>
        <v>55.30843200643723</v>
      </c>
      <c r="P882" s="74">
        <f t="shared" si="321"/>
        <v>0.28516817106995235</v>
      </c>
    </row>
    <row r="883" spans="2:16" ht="13.5">
      <c r="B883" s="74">
        <f t="shared" si="311"/>
        <v>43.04808726639502</v>
      </c>
      <c r="C883" s="70">
        <f t="shared" si="313"/>
        <v>56.468199999999996</v>
      </c>
      <c r="D883" s="70">
        <f t="shared" si="312"/>
        <v>83</v>
      </c>
      <c r="E883" s="74">
        <f t="shared" si="314"/>
        <v>0.985556012674662</v>
      </c>
      <c r="F883" s="74">
        <f t="shared" si="315"/>
        <v>1.4486232791552935</v>
      </c>
      <c r="G883" s="74">
        <f t="shared" si="316"/>
        <v>100.31379308454402</v>
      </c>
      <c r="H883" s="74">
        <f t="shared" si="317"/>
        <v>18.586512906677186</v>
      </c>
      <c r="I883" s="74">
        <f t="shared" si="324"/>
        <v>18.586512906677186</v>
      </c>
      <c r="J883" s="74">
        <f t="shared" si="325"/>
        <v>14.26015943222883</v>
      </c>
      <c r="K883" s="74">
        <f t="shared" si="326"/>
        <v>31.040333303609955</v>
      </c>
      <c r="L883" s="74">
        <f t="shared" si="318"/>
        <v>2.036625882702861</v>
      </c>
      <c r="M883" s="74">
        <f t="shared" si="327"/>
        <v>3.569901782381449</v>
      </c>
      <c r="N883" s="74">
        <f t="shared" si="319"/>
        <v>-0.0704082021850964</v>
      </c>
      <c r="O883" s="74">
        <f t="shared" si="320"/>
        <v>53.90204508167417</v>
      </c>
      <c r="P883" s="74">
        <f t="shared" si="321"/>
        <v>0.31132801072409166</v>
      </c>
    </row>
    <row r="884" spans="2:16" ht="13.5">
      <c r="B884" s="74">
        <f t="shared" si="311"/>
        <v>42.494686108074276</v>
      </c>
      <c r="C884" s="70">
        <f t="shared" si="313"/>
        <v>56.468199999999996</v>
      </c>
      <c r="D884" s="70">
        <f t="shared" si="312"/>
        <v>84</v>
      </c>
      <c r="E884" s="74">
        <f t="shared" si="314"/>
        <v>0.985556012674662</v>
      </c>
      <c r="F884" s="74">
        <f t="shared" si="315"/>
        <v>1.4660765716752369</v>
      </c>
      <c r="G884" s="74">
        <f t="shared" si="316"/>
        <v>100.31379308454402</v>
      </c>
      <c r="H884" s="74">
        <f t="shared" si="317"/>
        <v>15.910153613341771</v>
      </c>
      <c r="I884" s="74">
        <f t="shared" si="324"/>
        <v>15.910153613341771</v>
      </c>
      <c r="J884" s="74">
        <f t="shared" si="325"/>
        <v>12.128168042573405</v>
      </c>
      <c r="K884" s="74">
        <f t="shared" si="326"/>
        <v>29.990563968899536</v>
      </c>
      <c r="L884" s="74">
        <f t="shared" si="318"/>
        <v>2.0540791752228045</v>
      </c>
      <c r="M884" s="74">
        <f t="shared" si="327"/>
        <v>3.602054296824678</v>
      </c>
      <c r="N884" s="74">
        <f t="shared" si="319"/>
        <v>-0.1338838050927462</v>
      </c>
      <c r="O884" s="74">
        <f t="shared" si="320"/>
        <v>52.526320712095774</v>
      </c>
      <c r="P884" s="74">
        <f t="shared" si="321"/>
        <v>0.3385792570386277</v>
      </c>
    </row>
    <row r="885" spans="2:16" ht="13.5">
      <c r="B885" s="74">
        <f t="shared" si="311"/>
        <v>41.92339107394276</v>
      </c>
      <c r="C885" s="70">
        <f t="shared" si="313"/>
        <v>56.468199999999996</v>
      </c>
      <c r="D885" s="70">
        <f t="shared" si="312"/>
        <v>85</v>
      </c>
      <c r="E885" s="74">
        <f t="shared" si="314"/>
        <v>0.985556012674662</v>
      </c>
      <c r="F885" s="74">
        <f t="shared" si="315"/>
        <v>1.4835298641951802</v>
      </c>
      <c r="G885" s="74">
        <f t="shared" si="316"/>
        <v>100.31379308454402</v>
      </c>
      <c r="H885" s="74">
        <f t="shared" si="317"/>
        <v>13.24359644123674</v>
      </c>
      <c r="I885" s="74">
        <f t="shared" si="324"/>
        <v>13.24359644123674</v>
      </c>
      <c r="J885" s="74">
        <f t="shared" si="325"/>
        <v>9.956756386451493</v>
      </c>
      <c r="K885" s="74">
        <f t="shared" si="326"/>
        <v>28.944639396851734</v>
      </c>
      <c r="L885" s="74">
        <f t="shared" si="318"/>
        <v>2.0715324677427476</v>
      </c>
      <c r="M885" s="74">
        <f t="shared" si="327"/>
        <v>3.6359088404790922</v>
      </c>
      <c r="N885" s="74">
        <f t="shared" si="319"/>
        <v>-0.1985330643260647</v>
      </c>
      <c r="O885" s="74">
        <f t="shared" si="320"/>
        <v>51.17901049777817</v>
      </c>
      <c r="P885" s="74">
        <f t="shared" si="321"/>
        <v>0.36690568885727953</v>
      </c>
    </row>
    <row r="886" spans="2:16" ht="13.5">
      <c r="B886" s="74">
        <f t="shared" si="311"/>
        <v>41.33410981791143</v>
      </c>
      <c r="C886" s="70">
        <f t="shared" si="313"/>
        <v>56.468199999999996</v>
      </c>
      <c r="D886" s="70">
        <f t="shared" si="312"/>
        <v>86</v>
      </c>
      <c r="E886" s="74">
        <f t="shared" si="314"/>
        <v>0.985556012674662</v>
      </c>
      <c r="F886" s="74">
        <f t="shared" si="315"/>
        <v>1.5009831567151233</v>
      </c>
      <c r="G886" s="74">
        <f t="shared" si="316"/>
        <v>100.31379308454402</v>
      </c>
      <c r="H886" s="74">
        <f t="shared" si="317"/>
        <v>10.585171157948913</v>
      </c>
      <c r="I886" s="74">
        <f t="shared" si="324"/>
        <v>10.585171157948913</v>
      </c>
      <c r="J886" s="74">
        <f t="shared" si="325"/>
        <v>7.743460086500027</v>
      </c>
      <c r="K886" s="74">
        <f t="shared" si="326"/>
        <v>27.90190445914594</v>
      </c>
      <c r="L886" s="74">
        <f t="shared" si="318"/>
        <v>2.0889857602626907</v>
      </c>
      <c r="M886" s="74">
        <f t="shared" si="327"/>
        <v>3.6715347939252476</v>
      </c>
      <c r="N886" s="74">
        <f t="shared" si="319"/>
        <v>-0.26442935158799213</v>
      </c>
      <c r="O886" s="74">
        <f t="shared" si="320"/>
        <v>49.857945147796265</v>
      </c>
      <c r="P886" s="74">
        <f t="shared" si="321"/>
        <v>0.39628455970785964</v>
      </c>
    </row>
    <row r="887" spans="2:16" ht="13.5">
      <c r="B887" s="74">
        <f t="shared" si="311"/>
        <v>40.72670305183234</v>
      </c>
      <c r="C887" s="70">
        <f t="shared" si="313"/>
        <v>56.468199999999996</v>
      </c>
      <c r="D887" s="70">
        <f t="shared" si="312"/>
        <v>87</v>
      </c>
      <c r="E887" s="74">
        <f t="shared" si="314"/>
        <v>0.985556012674662</v>
      </c>
      <c r="F887" s="74">
        <f t="shared" si="315"/>
        <v>1.5184364492350666</v>
      </c>
      <c r="G887" s="74">
        <f t="shared" si="316"/>
        <v>100.31379308454402</v>
      </c>
      <c r="H887" s="74">
        <f t="shared" si="317"/>
        <v>7.933227588970383</v>
      </c>
      <c r="I887" s="74">
        <f t="shared" si="324"/>
        <v>7.933227588970383</v>
      </c>
      <c r="J887" s="74">
        <f t="shared" si="325"/>
        <v>5.4856666823648865</v>
      </c>
      <c r="K887" s="74">
        <f t="shared" si="326"/>
        <v>26.861711894930572</v>
      </c>
      <c r="L887" s="74">
        <f t="shared" si="318"/>
        <v>2.106439052782634</v>
      </c>
      <c r="M887" s="74">
        <f t="shared" si="327"/>
        <v>3.7090067869585464</v>
      </c>
      <c r="N887" s="74">
        <f t="shared" si="319"/>
        <v>-0.3316504474440855</v>
      </c>
      <c r="O887" s="74">
        <f t="shared" si="320"/>
        <v>48.56102575723464</v>
      </c>
      <c r="P887" s="74">
        <f t="shared" si="321"/>
        <v>0.4266857901477168</v>
      </c>
    </row>
    <row r="888" spans="2:16" ht="13.5">
      <c r="B888" s="74">
        <f t="shared" si="311"/>
        <v>40.100985046423745</v>
      </c>
      <c r="C888" s="70">
        <f t="shared" si="313"/>
        <v>56.468199999999996</v>
      </c>
      <c r="D888" s="70">
        <f t="shared" si="312"/>
        <v>88</v>
      </c>
      <c r="E888" s="74">
        <f t="shared" si="314"/>
        <v>0.985556012674662</v>
      </c>
      <c r="F888" s="74">
        <f t="shared" si="315"/>
        <v>1.53588974175501</v>
      </c>
      <c r="G888" s="74">
        <f t="shared" si="316"/>
        <v>100.31379308454402</v>
      </c>
      <c r="H888" s="74">
        <f t="shared" si="317"/>
        <v>5.286131481813329</v>
      </c>
      <c r="I888" s="74">
        <f t="shared" si="324"/>
        <v>5.286131481813329</v>
      </c>
      <c r="J888" s="74">
        <f t="shared" si="325"/>
        <v>3.180602221976846</v>
      </c>
      <c r="K888" s="74">
        <f t="shared" si="326"/>
        <v>25.823420688572526</v>
      </c>
      <c r="L888" s="74">
        <f t="shared" si="318"/>
        <v>2.1238923453025773</v>
      </c>
      <c r="M888" s="74">
        <f t="shared" si="327"/>
        <v>3.7484051255774977</v>
      </c>
      <c r="N888" s="74">
        <f t="shared" si="319"/>
        <v>-0.4002789405393484</v>
      </c>
      <c r="O888" s="74">
        <f t="shared" si="320"/>
        <v>47.286215520289254</v>
      </c>
      <c r="P888" s="74">
        <f t="shared" si="321"/>
        <v>0.4580712516866032</v>
      </c>
    </row>
    <row r="889" spans="2:16" ht="13.5">
      <c r="B889" s="74">
        <f t="shared" si="311"/>
        <v>39.45672387522531</v>
      </c>
      <c r="C889" s="70">
        <f t="shared" si="313"/>
        <v>56.468199999999996</v>
      </c>
      <c r="D889" s="70">
        <f t="shared" si="312"/>
        <v>89</v>
      </c>
      <c r="E889" s="74">
        <f t="shared" si="314"/>
        <v>0.985556012674662</v>
      </c>
      <c r="F889" s="74">
        <f t="shared" si="315"/>
        <v>1.5533430342749535</v>
      </c>
      <c r="G889" s="74">
        <f t="shared" si="316"/>
        <v>100.31379308454402</v>
      </c>
      <c r="H889" s="74">
        <f t="shared" si="317"/>
        <v>2.642260453508916</v>
      </c>
      <c r="I889" s="74">
        <f t="shared" si="324"/>
        <v>2.642260453508916</v>
      </c>
      <c r="J889" s="74">
        <f t="shared" si="325"/>
        <v>0.8253164850416557</v>
      </c>
      <c r="K889" s="74">
        <f t="shared" si="326"/>
        <v>24.78639448011291</v>
      </c>
      <c r="L889" s="74">
        <f t="shared" si="318"/>
        <v>2.141345637822521</v>
      </c>
      <c r="M889" s="74">
        <f t="shared" si="327"/>
        <v>3.7898162648555984</v>
      </c>
      <c r="N889" s="74">
        <f t="shared" si="319"/>
        <v>-0.47040266753803595</v>
      </c>
      <c r="O889" s="74">
        <f t="shared" si="320"/>
        <v>46.031531817541335</v>
      </c>
      <c r="P889" s="74">
        <f t="shared" si="321"/>
        <v>0.4903941822995413</v>
      </c>
    </row>
    <row r="890" spans="2:16" ht="13.5">
      <c r="B890" s="74">
        <f t="shared" si="311"/>
        <v>38.793641407947966</v>
      </c>
      <c r="C890" s="70">
        <f t="shared" si="313"/>
        <v>56.468199999999996</v>
      </c>
      <c r="D890" s="70">
        <f t="shared" si="312"/>
        <v>90</v>
      </c>
      <c r="E890" s="74">
        <f t="shared" si="314"/>
        <v>0.985556012674662</v>
      </c>
      <c r="F890" s="74">
        <f t="shared" si="315"/>
        <v>1.5707963267948966</v>
      </c>
      <c r="G890" s="74">
        <f t="shared" si="316"/>
        <v>100.31379308454402</v>
      </c>
      <c r="H890" s="74">
        <f t="shared" si="317"/>
        <v>9.272842368089618E-15</v>
      </c>
      <c r="I890" s="74">
        <f t="shared" si="324"/>
        <v>9.272842368089618E-15</v>
      </c>
      <c r="J890" s="74">
        <f t="shared" si="325"/>
        <v>-1.5833333333333073</v>
      </c>
      <c r="K890" s="74">
        <f t="shared" si="326"/>
        <v>23.750000000000007</v>
      </c>
      <c r="L890" s="74">
        <f t="shared" si="318"/>
        <v>2.158798930342464</v>
      </c>
      <c r="M890" s="74">
        <f t="shared" si="327"/>
        <v>3.8333333333333317</v>
      </c>
      <c r="N890" s="74">
        <f t="shared" si="319"/>
        <v>-0.5421151989096857</v>
      </c>
      <c r="O890" s="74">
        <f t="shared" si="320"/>
        <v>44.79503861944914</v>
      </c>
      <c r="P890" s="74">
        <f t="shared" si="321"/>
        <v>0.5235987755982985</v>
      </c>
    </row>
    <row r="891" spans="2:16" ht="13.5">
      <c r="B891" s="74">
        <f t="shared" si="311"/>
        <v>41.947823222592575</v>
      </c>
      <c r="C891" s="70">
        <f>C890+J793</f>
        <v>56.62179999999999</v>
      </c>
      <c r="D891" s="70">
        <f t="shared" si="312"/>
        <v>60</v>
      </c>
      <c r="E891" s="74">
        <f t="shared" si="314"/>
        <v>0.9882368384057252</v>
      </c>
      <c r="F891" s="74">
        <f t="shared" si="315"/>
        <v>1.0471975511965976</v>
      </c>
      <c r="G891" s="74">
        <f t="shared" si="316"/>
        <v>99.73080589064196</v>
      </c>
      <c r="H891" s="74">
        <f t="shared" si="317"/>
        <v>56.61327536344993</v>
      </c>
      <c r="I891" s="74">
        <f t="shared" si="324"/>
        <v>87.39639699857963</v>
      </c>
      <c r="J891" s="74">
        <f t="shared" si="325"/>
        <v>56.61327536344993</v>
      </c>
      <c r="K891" s="74">
        <f t="shared" si="326"/>
        <v>58.03017223313404</v>
      </c>
      <c r="L891" s="74">
        <f t="shared" si="318"/>
        <v>1.6352001547441652</v>
      </c>
      <c r="M891" s="74">
        <f t="shared" si="327"/>
        <v>3.196152422706631</v>
      </c>
      <c r="N891" s="74">
        <f t="shared" si="319"/>
        <v>1.1905676074715958</v>
      </c>
      <c r="O891" s="74">
        <f t="shared" si="320"/>
        <v>83.89564644518516</v>
      </c>
      <c r="P891" s="74">
        <f t="shared" si="321"/>
        <v>0.36527657481014053</v>
      </c>
    </row>
    <row r="892" spans="2:16" ht="13.5">
      <c r="B892" s="74">
        <f t="shared" si="311"/>
        <v>42.261268699652575</v>
      </c>
      <c r="C892" s="70">
        <f>C891</f>
        <v>56.62179999999999</v>
      </c>
      <c r="D892" s="70">
        <f t="shared" si="312"/>
        <v>61</v>
      </c>
      <c r="E892" s="74">
        <f t="shared" si="314"/>
        <v>0.9882368384057252</v>
      </c>
      <c r="F892" s="74">
        <f t="shared" si="315"/>
        <v>1.064650843716541</v>
      </c>
      <c r="G892" s="74">
        <f t="shared" si="316"/>
        <v>99.73080589064196</v>
      </c>
      <c r="H892" s="74">
        <f t="shared" si="317"/>
        <v>54.91741842603781</v>
      </c>
      <c r="I892" s="74">
        <f t="shared" si="324"/>
        <v>83.90853266366291</v>
      </c>
      <c r="J892" s="74">
        <f t="shared" si="325"/>
        <v>54.91741842603781</v>
      </c>
      <c r="K892" s="74">
        <f t="shared" si="326"/>
        <v>56.662099930008154</v>
      </c>
      <c r="L892" s="74">
        <f t="shared" si="318"/>
        <v>1.6526534472641083</v>
      </c>
      <c r="M892" s="74">
        <f t="shared" si="327"/>
        <v>3.200241894286732</v>
      </c>
      <c r="N892" s="74">
        <f t="shared" si="319"/>
        <v>1.1400769994561701</v>
      </c>
      <c r="O892" s="74">
        <f t="shared" si="320"/>
        <v>82.05464946845541</v>
      </c>
      <c r="P892" s="74">
        <f t="shared" si="321"/>
        <v>0.34980322535826536</v>
      </c>
    </row>
    <row r="893" spans="2:16" ht="13.5">
      <c r="B893" s="74">
        <f t="shared" si="311"/>
        <v>42.539868065481244</v>
      </c>
      <c r="C893" s="70">
        <f aca="true" t="shared" si="328" ref="C893:C916">C892</f>
        <v>56.62179999999999</v>
      </c>
      <c r="D893" s="70">
        <f>D862</f>
        <v>62</v>
      </c>
      <c r="E893" s="74">
        <f t="shared" si="314"/>
        <v>0.9882368384057252</v>
      </c>
      <c r="F893" s="74">
        <f t="shared" si="315"/>
        <v>1.0821041362364843</v>
      </c>
      <c r="G893" s="74">
        <f t="shared" si="316"/>
        <v>99.73080589064196</v>
      </c>
      <c r="H893" s="74">
        <f t="shared" si="317"/>
        <v>53.21669751699319</v>
      </c>
      <c r="I893" s="74">
        <f t="shared" si="324"/>
        <v>80.48751521775635</v>
      </c>
      <c r="J893" s="74">
        <f t="shared" si="325"/>
        <v>53.21669751699319</v>
      </c>
      <c r="K893" s="74">
        <f t="shared" si="326"/>
        <v>55.3202475049003</v>
      </c>
      <c r="L893" s="74">
        <f t="shared" si="318"/>
        <v>1.6701067397840519</v>
      </c>
      <c r="M893" s="74">
        <f t="shared" si="327"/>
        <v>3.205319466443784</v>
      </c>
      <c r="N893" s="74">
        <f t="shared" si="319"/>
        <v>1.0894415768165406</v>
      </c>
      <c r="O893" s="74">
        <f t="shared" si="320"/>
        <v>80.27613060460557</v>
      </c>
      <c r="P893" s="74">
        <f t="shared" si="321"/>
        <v>0.33609604183066605</v>
      </c>
    </row>
    <row r="894" spans="2:16" ht="13.5">
      <c r="B894" s="74">
        <f t="shared" si="311"/>
        <v>42.78477311156602</v>
      </c>
      <c r="C894" s="70">
        <f t="shared" si="328"/>
        <v>56.62179999999999</v>
      </c>
      <c r="D894" s="70">
        <f t="shared" si="312"/>
        <v>63</v>
      </c>
      <c r="E894" s="74">
        <f t="shared" si="314"/>
        <v>0.9882368384057252</v>
      </c>
      <c r="F894" s="74">
        <f t="shared" si="315"/>
        <v>1.0995574287564276</v>
      </c>
      <c r="G894" s="74">
        <f t="shared" si="316"/>
        <v>99.73080589064196</v>
      </c>
      <c r="H894" s="74">
        <f t="shared" si="317"/>
        <v>51.51005054407396</v>
      </c>
      <c r="I894" s="74">
        <f t="shared" si="324"/>
        <v>77.12941491721917</v>
      </c>
      <c r="J894" s="74">
        <f t="shared" si="325"/>
        <v>51.51005054407396</v>
      </c>
      <c r="K894" s="74">
        <f t="shared" si="326"/>
        <v>54.00307356373172</v>
      </c>
      <c r="L894" s="74">
        <f t="shared" si="318"/>
        <v>1.687560032303995</v>
      </c>
      <c r="M894" s="74">
        <f t="shared" si="327"/>
        <v>3.2113929525108333</v>
      </c>
      <c r="N894" s="74">
        <f t="shared" si="319"/>
        <v>1.0386297179684278</v>
      </c>
      <c r="O894" s="74">
        <f t="shared" si="320"/>
        <v>78.55620027379335</v>
      </c>
      <c r="P894" s="74">
        <f t="shared" si="321"/>
        <v>0.3240864393361336</v>
      </c>
    </row>
    <row r="895" spans="2:16" ht="13.5">
      <c r="B895" s="74">
        <f t="shared" si="311"/>
        <v>42.99701279351612</v>
      </c>
      <c r="C895" s="70">
        <f t="shared" si="328"/>
        <v>56.62179999999999</v>
      </c>
      <c r="D895" s="70">
        <f t="shared" si="312"/>
        <v>64</v>
      </c>
      <c r="E895" s="74">
        <f t="shared" si="314"/>
        <v>0.9882368384057252</v>
      </c>
      <c r="F895" s="74">
        <f t="shared" si="315"/>
        <v>1.117010721276371</v>
      </c>
      <c r="G895" s="74">
        <f t="shared" si="316"/>
        <v>99.73080589064196</v>
      </c>
      <c r="H895" s="74">
        <f t="shared" si="317"/>
        <v>49.7964007486329</v>
      </c>
      <c r="I895" s="74">
        <f aca="true" t="shared" si="329" ref="I895:I948">(0.5*$D$3*$D$9+$D$6)*$D$9/TAN(F895)</f>
        <v>73.83052059415728</v>
      </c>
      <c r="J895" s="74">
        <f t="shared" si="325"/>
        <v>49.7964007486329</v>
      </c>
      <c r="K895" s="74">
        <f aca="true" t="shared" si="330" ref="K895:K948">0.5*$D$3*$D$8^2*(1/TAN(F895)-1/TAN($D$16))+$G$19</f>
        <v>52.70912244609802</v>
      </c>
      <c r="L895" s="74">
        <f t="shared" si="318"/>
        <v>1.7050133248239385</v>
      </c>
      <c r="M895" s="74">
        <f t="shared" si="327"/>
        <v>3.21847173736185</v>
      </c>
      <c r="N895" s="74">
        <f t="shared" si="319"/>
        <v>0.9876093646658881</v>
      </c>
      <c r="O895" s="74">
        <f t="shared" si="320"/>
        <v>76.89119895235835</v>
      </c>
      <c r="P895" s="74">
        <f t="shared" si="321"/>
        <v>0.31371145522331423</v>
      </c>
    </row>
    <row r="896" spans="2:16" ht="13.5">
      <c r="B896" s="74">
        <f t="shared" si="311"/>
        <v>43.17750093612349</v>
      </c>
      <c r="C896" s="70">
        <f t="shared" si="328"/>
        <v>56.62179999999999</v>
      </c>
      <c r="D896" s="70">
        <f t="shared" si="312"/>
        <v>65</v>
      </c>
      <c r="E896" s="74">
        <f t="shared" si="314"/>
        <v>0.9882368384057252</v>
      </c>
      <c r="F896" s="74">
        <f t="shared" si="315"/>
        <v>1.1344640137963142</v>
      </c>
      <c r="G896" s="74">
        <f t="shared" si="316"/>
        <v>99.73080589064196</v>
      </c>
      <c r="H896" s="74">
        <f t="shared" si="317"/>
        <v>48.07465394252364</v>
      </c>
      <c r="I896" s="74">
        <f t="shared" si="329"/>
        <v>70.58732175321292</v>
      </c>
      <c r="J896" s="74">
        <f t="shared" si="325"/>
        <v>48.07465394252364</v>
      </c>
      <c r="K896" s="74">
        <f t="shared" si="330"/>
        <v>51.43701720295304</v>
      </c>
      <c r="L896" s="74">
        <f t="shared" si="318"/>
        <v>1.7224666173438816</v>
      </c>
      <c r="M896" s="74">
        <f t="shared" si="327"/>
        <v>3.2265668130425462</v>
      </c>
      <c r="N896" s="74">
        <f t="shared" si="319"/>
        <v>0.9363479397359457</v>
      </c>
      <c r="O896" s="74">
        <f t="shared" si="320"/>
        <v>75.27767565001145</v>
      </c>
      <c r="P896" s="74">
        <f t="shared" si="321"/>
        <v>0.3049141893991321</v>
      </c>
    </row>
    <row r="897" spans="2:16" ht="13.5">
      <c r="B897" s="74">
        <f t="shared" si="311"/>
        <v>43.327042980971946</v>
      </c>
      <c r="C897" s="70">
        <f t="shared" si="328"/>
        <v>56.62179999999999</v>
      </c>
      <c r="D897" s="70">
        <f t="shared" si="312"/>
        <v>66</v>
      </c>
      <c r="E897" s="74">
        <f t="shared" si="314"/>
        <v>0.9882368384057252</v>
      </c>
      <c r="F897" s="74">
        <f t="shared" si="315"/>
        <v>1.1519173063162575</v>
      </c>
      <c r="G897" s="74">
        <f t="shared" si="316"/>
        <v>99.73080589064196</v>
      </c>
      <c r="H897" s="74">
        <f t="shared" si="317"/>
        <v>46.34369565210348</v>
      </c>
      <c r="I897" s="74">
        <f t="shared" si="329"/>
        <v>67.39649223857965</v>
      </c>
      <c r="J897" s="74">
        <f t="shared" si="325"/>
        <v>46.34369565210348</v>
      </c>
      <c r="K897" s="74">
        <f t="shared" si="330"/>
        <v>50.18545319019432</v>
      </c>
      <c r="L897" s="74">
        <f t="shared" si="318"/>
        <v>1.7399199098638252</v>
      </c>
      <c r="M897" s="74">
        <f t="shared" si="327"/>
        <v>3.235690820800044</v>
      </c>
      <c r="N897" s="74">
        <f t="shared" si="319"/>
        <v>0.8848122620472225</v>
      </c>
      <c r="O897" s="74">
        <f t="shared" si="320"/>
        <v>73.71236827053471</v>
      </c>
      <c r="P897" s="74">
        <f t="shared" si="321"/>
        <v>0.29764406413579436</v>
      </c>
    </row>
    <row r="898" spans="2:16" ht="13.5">
      <c r="B898" s="74">
        <f t="shared" si="311"/>
        <v>43.446341865464206</v>
      </c>
      <c r="C898" s="70">
        <f t="shared" si="328"/>
        <v>56.62179999999999</v>
      </c>
      <c r="D898" s="70">
        <f t="shared" si="312"/>
        <v>67</v>
      </c>
      <c r="E898" s="74">
        <f t="shared" si="314"/>
        <v>0.9882368384057252</v>
      </c>
      <c r="F898" s="74">
        <f t="shared" si="315"/>
        <v>1.1693705988362006</v>
      </c>
      <c r="G898" s="74">
        <f t="shared" si="316"/>
        <v>99.73080589064196</v>
      </c>
      <c r="H898" s="74">
        <f t="shared" si="317"/>
        <v>44.602388153158174</v>
      </c>
      <c r="I898" s="74">
        <f t="shared" si="329"/>
        <v>64.25487530372895</v>
      </c>
      <c r="J898" s="74">
        <f t="shared" si="325"/>
        <v>44.602388153158174</v>
      </c>
      <c r="K898" s="74">
        <f t="shared" si="330"/>
        <v>48.95319221244529</v>
      </c>
      <c r="L898" s="74">
        <f t="shared" si="318"/>
        <v>1.7573732023837683</v>
      </c>
      <c r="M898" s="74">
        <f t="shared" si="327"/>
        <v>3.2458580998131934</v>
      </c>
      <c r="N898" s="74">
        <f t="shared" si="319"/>
        <v>0.8329684582310031</v>
      </c>
      <c r="O898" s="74">
        <f t="shared" si="320"/>
        <v>72.1921856285856</v>
      </c>
      <c r="P898" s="74">
        <f t="shared" si="321"/>
        <v>0.2918569506737121</v>
      </c>
    </row>
    <row r="899" spans="2:16" ht="13.5">
      <c r="B899" s="74">
        <f t="shared" si="311"/>
        <v>43.53600310919958</v>
      </c>
      <c r="C899" s="70">
        <f t="shared" si="328"/>
        <v>56.62179999999999</v>
      </c>
      <c r="D899" s="70">
        <f>D868</f>
        <v>68</v>
      </c>
      <c r="E899" s="74">
        <f t="shared" si="314"/>
        <v>0.9882368384057252</v>
      </c>
      <c r="F899" s="74">
        <f t="shared" si="315"/>
        <v>1.1868238913561442</v>
      </c>
      <c r="G899" s="74">
        <f t="shared" si="316"/>
        <v>99.73080589064196</v>
      </c>
      <c r="H899" s="74">
        <f t="shared" si="317"/>
        <v>42.84956737955771</v>
      </c>
      <c r="I899" s="74">
        <f t="shared" si="329"/>
        <v>61.15946993579685</v>
      </c>
      <c r="J899" s="74">
        <f t="shared" si="325"/>
        <v>42.84956737955771</v>
      </c>
      <c r="K899" s="74">
        <f t="shared" si="330"/>
        <v>47.739057158962424</v>
      </c>
      <c r="L899" s="74">
        <f t="shared" si="318"/>
        <v>1.7748264949037118</v>
      </c>
      <c r="M899" s="74">
        <f t="shared" si="327"/>
        <v>3.2570847429771757</v>
      </c>
      <c r="N899" s="74">
        <f t="shared" si="319"/>
        <v>0.7807818706428962</v>
      </c>
      <c r="O899" s="74">
        <f t="shared" si="320"/>
        <v>70.71419092151397</v>
      </c>
      <c r="P899" s="74">
        <f t="shared" si="321"/>
        <v>0.28751520001301045</v>
      </c>
    </row>
    <row r="900" spans="2:16" ht="13.5">
      <c r="B900" s="74">
        <f t="shared" si="311"/>
        <v>43.596539172267704</v>
      </c>
      <c r="C900" s="70">
        <f t="shared" si="328"/>
        <v>56.62179999999999</v>
      </c>
      <c r="D900" s="70">
        <f t="shared" si="312"/>
        <v>69</v>
      </c>
      <c r="E900" s="74">
        <f t="shared" si="314"/>
        <v>0.9882368384057252</v>
      </c>
      <c r="F900" s="74">
        <f t="shared" si="315"/>
        <v>1.2042771838760873</v>
      </c>
      <c r="G900" s="74">
        <f t="shared" si="316"/>
        <v>99.73080589064196</v>
      </c>
      <c r="H900" s="74">
        <f t="shared" si="317"/>
        <v>41.08403968726031</v>
      </c>
      <c r="I900" s="74">
        <f t="shared" si="329"/>
        <v>58.107418303486085</v>
      </c>
      <c r="J900" s="74">
        <f t="shared" si="325"/>
        <v>41.08403968726031</v>
      </c>
      <c r="K900" s="74">
        <f t="shared" si="330"/>
        <v>46.54192708022782</v>
      </c>
      <c r="L900" s="74">
        <f t="shared" si="318"/>
        <v>1.792279787423655</v>
      </c>
      <c r="M900" s="74">
        <f t="shared" si="327"/>
        <v>3.2693886601519666</v>
      </c>
      <c r="N900" s="74">
        <f t="shared" si="319"/>
        <v>0.7282169610177962</v>
      </c>
      <c r="O900" s="74">
        <f t="shared" si="320"/>
        <v>69.27558647756447</v>
      </c>
      <c r="P900" s="74">
        <f t="shared" si="321"/>
        <v>0.28458760670877703</v>
      </c>
    </row>
    <row r="901" spans="2:16" ht="13.5">
      <c r="B901" s="74">
        <f t="shared" si="311"/>
        <v>43.62837313996531</v>
      </c>
      <c r="C901" s="70">
        <f t="shared" si="328"/>
        <v>56.62179999999999</v>
      </c>
      <c r="D901" s="70">
        <f t="shared" si="312"/>
        <v>70</v>
      </c>
      <c r="E901" s="74">
        <f t="shared" si="314"/>
        <v>0.9882368384057252</v>
      </c>
      <c r="F901" s="74">
        <f t="shared" si="315"/>
        <v>1.2217304763960306</v>
      </c>
      <c r="G901" s="74">
        <f t="shared" si="316"/>
        <v>99.73080589064196</v>
      </c>
      <c r="H901" s="74">
        <f t="shared" si="317"/>
        <v>39.30457845389725</v>
      </c>
      <c r="I901" s="74">
        <f t="shared" si="329"/>
        <v>55.09599421204639</v>
      </c>
      <c r="J901" s="74">
        <f t="shared" si="325"/>
        <v>39.30457845389725</v>
      </c>
      <c r="K901" s="74">
        <f t="shared" si="330"/>
        <v>45.360732659555765</v>
      </c>
      <c r="L901" s="74">
        <f t="shared" si="318"/>
        <v>1.809733079943598</v>
      </c>
      <c r="M901" s="74">
        <f t="shared" si="327"/>
        <v>3.2827896493451227</v>
      </c>
      <c r="N901" s="74">
        <f t="shared" si="319"/>
        <v>0.6752372092296027</v>
      </c>
      <c r="O901" s="74">
        <f t="shared" si="320"/>
        <v>67.87369962100087</v>
      </c>
      <c r="P901" s="74">
        <f t="shared" si="321"/>
        <v>0.28304932720539894</v>
      </c>
    </row>
    <row r="902" spans="2:16" ht="13.5">
      <c r="B902" s="74">
        <f t="shared" si="311"/>
        <v>43.63184177946293</v>
      </c>
      <c r="C902" s="70">
        <f t="shared" si="328"/>
        <v>56.62179999999999</v>
      </c>
      <c r="D902" s="70">
        <f t="shared" si="312"/>
        <v>71</v>
      </c>
      <c r="E902" s="74">
        <f t="shared" si="314"/>
        <v>0.9882368384057252</v>
      </c>
      <c r="F902" s="74">
        <f t="shared" si="315"/>
        <v>1.239183768915974</v>
      </c>
      <c r="G902" s="74">
        <f t="shared" si="316"/>
        <v>99.73080589064196</v>
      </c>
      <c r="H902" s="74">
        <f t="shared" si="317"/>
        <v>37.50992049257642</v>
      </c>
      <c r="I902" s="74">
        <f t="shared" si="329"/>
        <v>52.12259246172309</v>
      </c>
      <c r="J902" s="74">
        <f t="shared" si="325"/>
        <v>37.50992049257642</v>
      </c>
      <c r="K902" s="74">
        <f t="shared" si="330"/>
        <v>44.19445203907388</v>
      </c>
      <c r="L902" s="74">
        <f t="shared" si="318"/>
        <v>1.8271863724635415</v>
      </c>
      <c r="M902" s="74">
        <f t="shared" si="327"/>
        <v>3.297309476365921</v>
      </c>
      <c r="N902" s="74">
        <f t="shared" si="319"/>
        <v>0.6218050065196917</v>
      </c>
      <c r="O902" s="74">
        <f t="shared" si="320"/>
        <v>66.50596951100609</v>
      </c>
      <c r="P902" s="74">
        <f t="shared" si="321"/>
        <v>0.282881768121677</v>
      </c>
    </row>
    <row r="903" spans="2:16" ht="13.5">
      <c r="B903" s="74">
        <f t="shared" si="311"/>
        <v>43.60719800585819</v>
      </c>
      <c r="C903" s="70">
        <f t="shared" si="328"/>
        <v>56.62179999999999</v>
      </c>
      <c r="D903" s="70">
        <f t="shared" si="312"/>
        <v>72</v>
      </c>
      <c r="E903" s="74">
        <f t="shared" si="314"/>
        <v>0.9882368384057252</v>
      </c>
      <c r="F903" s="74">
        <f t="shared" si="315"/>
        <v>1.2566370614359172</v>
      </c>
      <c r="G903" s="74">
        <f t="shared" si="316"/>
        <v>99.73080589064196</v>
      </c>
      <c r="H903" s="74">
        <f t="shared" si="317"/>
        <v>35.698762256707205</v>
      </c>
      <c r="I903" s="74">
        <f t="shared" si="329"/>
        <v>49.18471901725621</v>
      </c>
      <c r="J903" s="74">
        <f t="shared" si="325"/>
        <v>35.698762256707205</v>
      </c>
      <c r="K903" s="74">
        <f t="shared" si="330"/>
        <v>43.042106963828815</v>
      </c>
      <c r="L903" s="74">
        <f t="shared" si="318"/>
        <v>1.8446396649834846</v>
      </c>
      <c r="M903" s="74">
        <f t="shared" si="327"/>
        <v>3.3129719635610875</v>
      </c>
      <c r="N903" s="74">
        <f t="shared" si="319"/>
        <v>0.5678815425034818</v>
      </c>
      <c r="O903" s="74">
        <f t="shared" si="320"/>
        <v>65.16993482505778</v>
      </c>
      <c r="P903" s="74">
        <f t="shared" si="321"/>
        <v>0.2840724547415413</v>
      </c>
    </row>
    <row r="904" spans="2:16" ht="13.5">
      <c r="B904" s="74">
        <f t="shared" si="311"/>
        <v>43.55461278768057</v>
      </c>
      <c r="C904" s="70">
        <f t="shared" si="328"/>
        <v>56.62179999999999</v>
      </c>
      <c r="D904" s="70">
        <f t="shared" si="312"/>
        <v>73</v>
      </c>
      <c r="E904" s="74">
        <f t="shared" si="314"/>
        <v>0.9882368384057252</v>
      </c>
      <c r="F904" s="74">
        <f t="shared" si="315"/>
        <v>1.2740903539558606</v>
      </c>
      <c r="G904" s="74">
        <f t="shared" si="316"/>
        <v>99.73080589064196</v>
      </c>
      <c r="H904" s="74">
        <f t="shared" si="317"/>
        <v>33.86975581055276</v>
      </c>
      <c r="I904" s="74">
        <f t="shared" si="329"/>
        <v>46.27998190580472</v>
      </c>
      <c r="J904" s="74">
        <f t="shared" si="325"/>
        <v>33.86975581055276</v>
      </c>
      <c r="K904" s="74">
        <f t="shared" si="330"/>
        <v>41.90275921160796</v>
      </c>
      <c r="L904" s="74">
        <f t="shared" si="318"/>
        <v>1.8620929575034282</v>
      </c>
      <c r="M904" s="74">
        <f t="shared" si="327"/>
        <v>3.3298030883232532</v>
      </c>
      <c r="N904" s="74">
        <f t="shared" si="319"/>
        <v>0.5134266852020202</v>
      </c>
      <c r="O904" s="74">
        <f t="shared" si="320"/>
        <v>63.86322216916946</v>
      </c>
      <c r="P904" s="74">
        <f t="shared" si="321"/>
        <v>0.2866148855712826</v>
      </c>
    </row>
    <row r="905" spans="2:16" ht="13.5">
      <c r="B905" s="74">
        <f t="shared" si="311"/>
        <v>43.4741765151118</v>
      </c>
      <c r="C905" s="70">
        <f t="shared" si="328"/>
        <v>56.62179999999999</v>
      </c>
      <c r="D905" s="70">
        <f t="shared" si="312"/>
        <v>74</v>
      </c>
      <c r="E905" s="74">
        <f t="shared" si="314"/>
        <v>0.9882368384057252</v>
      </c>
      <c r="F905" s="74">
        <f t="shared" si="315"/>
        <v>1.2915436464758039</v>
      </c>
      <c r="G905" s="74">
        <f t="shared" si="316"/>
        <v>99.73080589064196</v>
      </c>
      <c r="H905" s="74">
        <f t="shared" si="317"/>
        <v>32.02150453781869</v>
      </c>
      <c r="I905" s="74">
        <f t="shared" si="329"/>
        <v>43.40608276923955</v>
      </c>
      <c r="J905" s="74">
        <f t="shared" si="325"/>
        <v>32.02150453781869</v>
      </c>
      <c r="K905" s="74">
        <f t="shared" si="330"/>
        <v>40.77550727942922</v>
      </c>
      <c r="L905" s="74">
        <f t="shared" si="318"/>
        <v>1.8795462500233713</v>
      </c>
      <c r="M905" s="74">
        <f t="shared" si="327"/>
        <v>3.347831092152982</v>
      </c>
      <c r="N905" s="74">
        <f t="shared" si="319"/>
        <v>0.4583988532741495</v>
      </c>
      <c r="O905" s="74">
        <f t="shared" si="320"/>
        <v>62.58353510717235</v>
      </c>
      <c r="P905" s="74">
        <f t="shared" si="321"/>
        <v>0.2905083749938825</v>
      </c>
    </row>
    <row r="906" spans="2:16" ht="13.5">
      <c r="B906" s="74">
        <f t="shared" si="311"/>
        <v>43.36589984782414</v>
      </c>
      <c r="C906" s="70">
        <f t="shared" si="328"/>
        <v>56.62179999999999</v>
      </c>
      <c r="D906" s="70">
        <f t="shared" si="312"/>
        <v>75</v>
      </c>
      <c r="E906" s="74">
        <f t="shared" si="314"/>
        <v>0.9882368384057252</v>
      </c>
      <c r="F906" s="74">
        <f t="shared" si="315"/>
        <v>1.3089969389957472</v>
      </c>
      <c r="G906" s="74">
        <f t="shared" si="316"/>
        <v>99.73080589064196</v>
      </c>
      <c r="H906" s="74">
        <f t="shared" si="317"/>
        <v>30.152558557855457</v>
      </c>
      <c r="I906" s="74">
        <f t="shared" si="329"/>
        <v>40.560809004261195</v>
      </c>
      <c r="J906" s="74">
        <f aca="true" t="shared" si="331" ref="J906:J938">0.5*$J$18*N906*$D$3+$G$18</f>
        <v>30.152558557855457</v>
      </c>
      <c r="K906" s="74">
        <f t="shared" si="330"/>
        <v>39.65948330059791</v>
      </c>
      <c r="L906" s="74">
        <f t="shared" si="318"/>
        <v>1.8969995425433148</v>
      </c>
      <c r="M906" s="74">
        <f aca="true" t="shared" si="332" ref="M906:M937">J$18/SIN(L906)*SIN(J$19)</f>
        <v>3.3670866011551928</v>
      </c>
      <c r="N906" s="74">
        <f t="shared" si="319"/>
        <v>0.4027548795434824</v>
      </c>
      <c r="O906" s="74">
        <f t="shared" si="320"/>
        <v>61.328643709306235</v>
      </c>
      <c r="P906" s="74">
        <f t="shared" si="321"/>
        <v>0.2957578825996395</v>
      </c>
    </row>
    <row r="907" spans="2:16" ht="13.5">
      <c r="B907" s="74">
        <f t="shared" si="311"/>
        <v>43.22971405329704</v>
      </c>
      <c r="C907" s="70">
        <f t="shared" si="328"/>
        <v>56.62179999999999</v>
      </c>
      <c r="D907" s="70">
        <f t="shared" si="312"/>
        <v>76</v>
      </c>
      <c r="E907" s="74">
        <f t="shared" si="314"/>
        <v>0.9882368384057252</v>
      </c>
      <c r="F907" s="74">
        <f t="shared" si="315"/>
        <v>1.3264502315156903</v>
      </c>
      <c r="G907" s="74">
        <f t="shared" si="316"/>
        <v>99.73080589064196</v>
      </c>
      <c r="H907" s="74">
        <f t="shared" si="317"/>
        <v>28.2614098159386</v>
      </c>
      <c r="I907" s="74">
        <f t="shared" si="329"/>
        <v>37.7420264303865</v>
      </c>
      <c r="J907" s="74">
        <f t="shared" si="331"/>
        <v>28.2614098159386</v>
      </c>
      <c r="K907" s="74">
        <f t="shared" si="330"/>
        <v>38.55385016881386</v>
      </c>
      <c r="L907" s="74">
        <f t="shared" si="318"/>
        <v>1.914452835063258</v>
      </c>
      <c r="M907" s="74">
        <f t="shared" si="332"/>
        <v>3.3876027589624966</v>
      </c>
      <c r="N907" s="74">
        <f t="shared" si="319"/>
        <v>0.34644986482172163</v>
      </c>
      <c r="O907" s="74">
        <f t="shared" si="320"/>
        <v>60.0963745269556</v>
      </c>
      <c r="P907" s="74">
        <f t="shared" si="321"/>
        <v>0.30237382453524003</v>
      </c>
    </row>
    <row r="908" spans="2:16" ht="13.5">
      <c r="B908" s="74">
        <f t="shared" si="311"/>
        <v>43.06547084063591</v>
      </c>
      <c r="C908" s="70">
        <f t="shared" si="328"/>
        <v>56.62179999999999</v>
      </c>
      <c r="D908" s="70">
        <f t="shared" si="312"/>
        <v>77</v>
      </c>
      <c r="E908" s="74">
        <f t="shared" si="314"/>
        <v>0.9882368384057252</v>
      </c>
      <c r="F908" s="74">
        <f t="shared" si="315"/>
        <v>1.3439035240356338</v>
      </c>
      <c r="G908" s="74">
        <f t="shared" si="316"/>
        <v>99.73080589064196</v>
      </c>
      <c r="H908" s="74">
        <f t="shared" si="317"/>
        <v>26.34648681054474</v>
      </c>
      <c r="I908" s="74">
        <f t="shared" si="329"/>
        <v>34.9476724316321</v>
      </c>
      <c r="J908" s="74">
        <f t="shared" si="331"/>
        <v>26.34648681054474</v>
      </c>
      <c r="K908" s="74">
        <f t="shared" si="330"/>
        <v>37.4577988480803</v>
      </c>
      <c r="L908" s="74">
        <f t="shared" si="318"/>
        <v>1.9319061275832015</v>
      </c>
      <c r="M908" s="74">
        <f t="shared" si="332"/>
        <v>3.409415373203253</v>
      </c>
      <c r="N908" s="74">
        <f t="shared" si="319"/>
        <v>0.2894370209242849</v>
      </c>
      <c r="O908" s="74">
        <f t="shared" si="320"/>
        <v>58.88460090554228</v>
      </c>
      <c r="P908" s="74">
        <f t="shared" si="321"/>
        <v>0.31037185904967335</v>
      </c>
    </row>
    <row r="909" spans="2:16" ht="13.5">
      <c r="B909" s="74">
        <f t="shared" si="311"/>
        <v>42.87294168918344</v>
      </c>
      <c r="C909" s="70">
        <f t="shared" si="328"/>
        <v>56.62179999999999</v>
      </c>
      <c r="D909" s="70">
        <f t="shared" si="312"/>
        <v>78</v>
      </c>
      <c r="E909" s="74">
        <f t="shared" si="314"/>
        <v>0.9882368384057252</v>
      </c>
      <c r="F909" s="74">
        <f t="shared" si="315"/>
        <v>1.361356816555577</v>
      </c>
      <c r="G909" s="74">
        <f t="shared" si="316"/>
        <v>99.73080589064196</v>
      </c>
      <c r="H909" s="74">
        <f t="shared" si="317"/>
        <v>24.40614891650218</v>
      </c>
      <c r="I909" s="74">
        <f t="shared" si="329"/>
        <v>32.17574952279962</v>
      </c>
      <c r="J909" s="74">
        <f t="shared" si="331"/>
        <v>24.40614891650218</v>
      </c>
      <c r="K909" s="74">
        <f t="shared" si="330"/>
        <v>36.370545849157565</v>
      </c>
      <c r="L909" s="74">
        <f t="shared" si="318"/>
        <v>1.9493594201031446</v>
      </c>
      <c r="M909" s="74">
        <f t="shared" si="332"/>
        <v>3.4325630767730444</v>
      </c>
      <c r="N909" s="74">
        <f t="shared" si="319"/>
        <v>0.23166750165393885</v>
      </c>
      <c r="O909" s="74">
        <f t="shared" si="320"/>
        <v>57.691233551470916</v>
      </c>
      <c r="P909" s="74">
        <f t="shared" si="321"/>
        <v>0.3197726352112922</v>
      </c>
    </row>
    <row r="910" spans="2:16" ht="13.5">
      <c r="B910" s="74">
        <f t="shared" si="311"/>
        <v>42.651816665476595</v>
      </c>
      <c r="C910" s="70">
        <f t="shared" si="328"/>
        <v>56.62179999999999</v>
      </c>
      <c r="D910" s="70">
        <f t="shared" si="312"/>
        <v>79</v>
      </c>
      <c r="E910" s="74">
        <f t="shared" si="314"/>
        <v>0.9882368384057252</v>
      </c>
      <c r="F910" s="74">
        <f t="shared" si="315"/>
        <v>1.3788101090755203</v>
      </c>
      <c r="G910" s="74">
        <f t="shared" si="316"/>
        <v>99.73080589064196</v>
      </c>
      <c r="H910" s="74">
        <f t="shared" si="317"/>
        <v>22.438680258289008</v>
      </c>
      <c r="I910" s="74">
        <f t="shared" si="329"/>
        <v>29.424319295722153</v>
      </c>
      <c r="J910" s="74">
        <f t="shared" si="331"/>
        <v>22.438680258289008</v>
      </c>
      <c r="K910" s="74">
        <f t="shared" si="330"/>
        <v>35.29133085505204</v>
      </c>
      <c r="L910" s="74">
        <f t="shared" si="318"/>
        <v>1.9668127126230877</v>
      </c>
      <c r="M910" s="74">
        <f t="shared" si="332"/>
        <v>3.4570875053272205</v>
      </c>
      <c r="N910" s="74">
        <f t="shared" si="319"/>
        <v>0.17309022039101127</v>
      </c>
      <c r="O910" s="74">
        <f t="shared" si="320"/>
        <v>56.514211271687856</v>
      </c>
      <c r="P910" s="74">
        <f t="shared" si="321"/>
        <v>0.33060149044558657</v>
      </c>
    </row>
    <row r="911" spans="2:16" ht="13.5">
      <c r="B911" s="74">
        <f t="shared" si="311"/>
        <v>42.40170271626228</v>
      </c>
      <c r="C911" s="70">
        <f t="shared" si="328"/>
        <v>56.62179999999999</v>
      </c>
      <c r="D911" s="70">
        <f t="shared" si="312"/>
        <v>80</v>
      </c>
      <c r="E911" s="74">
        <f t="shared" si="314"/>
        <v>0.9882368384057252</v>
      </c>
      <c r="F911" s="74">
        <f t="shared" si="315"/>
        <v>1.3962634015954636</v>
      </c>
      <c r="G911" s="74">
        <f t="shared" si="316"/>
        <v>99.73080589064196</v>
      </c>
      <c r="H911" s="74">
        <f t="shared" si="317"/>
        <v>20.442283082501756</v>
      </c>
      <c r="I911" s="74">
        <f t="shared" si="329"/>
        <v>26.691496704743898</v>
      </c>
      <c r="J911" s="74">
        <f t="shared" si="331"/>
        <v>20.442283082501756</v>
      </c>
      <c r="K911" s="74">
        <f t="shared" si="330"/>
        <v>34.21941447956511</v>
      </c>
      <c r="L911" s="74">
        <f t="shared" si="318"/>
        <v>1.9842660051430312</v>
      </c>
      <c r="M911" s="74">
        <f t="shared" si="332"/>
        <v>3.483033492591896</v>
      </c>
      <c r="N911" s="74">
        <f t="shared" si="319"/>
        <v>0.1136516527724497</v>
      </c>
      <c r="O911" s="74">
        <f t="shared" si="320"/>
        <v>55.351491805909056</v>
      </c>
      <c r="P911" s="74">
        <f t="shared" si="321"/>
        <v>0.342888079060582</v>
      </c>
    </row>
    <row r="912" spans="2:16" ht="13.5">
      <c r="B912" s="74">
        <f t="shared" si="311"/>
        <v>42.12212141923282</v>
      </c>
      <c r="C912" s="70">
        <f t="shared" si="328"/>
        <v>56.62179999999999</v>
      </c>
      <c r="D912" s="70">
        <f t="shared" si="312"/>
        <v>81</v>
      </c>
      <c r="E912" s="74">
        <f t="shared" si="314"/>
        <v>0.9882368384057252</v>
      </c>
      <c r="F912" s="74">
        <f t="shared" si="315"/>
        <v>1.413716694115407</v>
      </c>
      <c r="G912" s="74">
        <f t="shared" si="316"/>
        <v>99.73080589064196</v>
      </c>
      <c r="H912" s="74">
        <f t="shared" si="317"/>
        <v>18.415070572518374</v>
      </c>
      <c r="I912" s="74">
        <f t="shared" si="329"/>
        <v>23.97544465412669</v>
      </c>
      <c r="J912" s="74">
        <f t="shared" si="331"/>
        <v>18.415070572518374</v>
      </c>
      <c r="K912" s="74">
        <f t="shared" si="330"/>
        <v>33.15407614426935</v>
      </c>
      <c r="L912" s="74">
        <f t="shared" si="318"/>
        <v>2.0017192976629743</v>
      </c>
      <c r="M912" s="74">
        <f t="shared" si="332"/>
        <v>3.510449285294637</v>
      </c>
      <c r="N912" s="74">
        <f t="shared" si="319"/>
        <v>0.053295622763378</v>
      </c>
      <c r="O912" s="74">
        <f t="shared" si="320"/>
        <v>54.2010426719113</v>
      </c>
      <c r="P912" s="74">
        <f t="shared" si="321"/>
        <v>0.35666591030674577</v>
      </c>
    </row>
    <row r="913" spans="2:16" ht="13.5">
      <c r="B913" s="74">
        <f t="shared" si="311"/>
        <v>43.58437281006698</v>
      </c>
      <c r="C913" s="70">
        <f t="shared" si="328"/>
        <v>56.62179999999999</v>
      </c>
      <c r="D913" s="70">
        <f>D882</f>
        <v>82</v>
      </c>
      <c r="E913" s="74">
        <f t="shared" si="314"/>
        <v>0.9882368384057252</v>
      </c>
      <c r="F913" s="74">
        <f t="shared" si="315"/>
        <v>1.43116998663535</v>
      </c>
      <c r="G913" s="74">
        <f t="shared" si="316"/>
        <v>99.73080589064196</v>
      </c>
      <c r="H913" s="74">
        <f t="shared" si="317"/>
        <v>21.274368853074545</v>
      </c>
      <c r="I913" s="74">
        <f t="shared" si="329"/>
        <v>21.274368853074545</v>
      </c>
      <c r="J913" s="74">
        <f t="shared" si="331"/>
        <v>16.355059041525283</v>
      </c>
      <c r="K913" s="74">
        <f t="shared" si="330"/>
        <v>32.09461206045451</v>
      </c>
      <c r="L913" s="74">
        <f t="shared" si="318"/>
        <v>2.0191725901829174</v>
      </c>
      <c r="M913" s="74">
        <f t="shared" si="332"/>
        <v>3.539386779747792</v>
      </c>
      <c r="N913" s="74">
        <f t="shared" si="319"/>
        <v>-0.008036929779261789</v>
      </c>
      <c r="O913" s="74">
        <f t="shared" si="320"/>
        <v>55.30936298848905</v>
      </c>
      <c r="P913" s="74">
        <f t="shared" si="321"/>
        <v>0.28517573710512867</v>
      </c>
    </row>
    <row r="914" spans="2:16" ht="13.5">
      <c r="B914" s="74">
        <f t="shared" si="311"/>
        <v>43.04621289037667</v>
      </c>
      <c r="C914" s="70">
        <f t="shared" si="328"/>
        <v>56.62179999999999</v>
      </c>
      <c r="D914" s="70">
        <f t="shared" si="312"/>
        <v>83</v>
      </c>
      <c r="E914" s="74">
        <f t="shared" si="314"/>
        <v>0.9882368384057252</v>
      </c>
      <c r="F914" s="74">
        <f t="shared" si="315"/>
        <v>1.4486232791552935</v>
      </c>
      <c r="G914" s="74">
        <f t="shared" si="316"/>
        <v>99.73080589064196</v>
      </c>
      <c r="H914" s="74">
        <f t="shared" si="317"/>
        <v>18.586512906677186</v>
      </c>
      <c r="I914" s="74">
        <f t="shared" si="329"/>
        <v>18.586512906677186</v>
      </c>
      <c r="J914" s="74">
        <f t="shared" si="331"/>
        <v>14.26015943222883</v>
      </c>
      <c r="K914" s="74">
        <f t="shared" si="330"/>
        <v>31.040333303609955</v>
      </c>
      <c r="L914" s="74">
        <f t="shared" si="318"/>
        <v>2.036625882702861</v>
      </c>
      <c r="M914" s="74">
        <f t="shared" si="332"/>
        <v>3.569901782381449</v>
      </c>
      <c r="N914" s="74">
        <f t="shared" si="319"/>
        <v>-0.0704082021850964</v>
      </c>
      <c r="O914" s="74">
        <f t="shared" si="320"/>
        <v>53.8996981086248</v>
      </c>
      <c r="P914" s="74">
        <f t="shared" si="321"/>
        <v>0.3113109743936635</v>
      </c>
    </row>
    <row r="915" spans="2:16" ht="13.5">
      <c r="B915" s="74">
        <f t="shared" si="311"/>
        <v>42.49006373694947</v>
      </c>
      <c r="C915" s="70">
        <f t="shared" si="328"/>
        <v>56.62179999999999</v>
      </c>
      <c r="D915" s="70">
        <f t="shared" si="312"/>
        <v>84</v>
      </c>
      <c r="E915" s="74">
        <f t="shared" si="314"/>
        <v>0.9882368384057252</v>
      </c>
      <c r="F915" s="74">
        <f t="shared" si="315"/>
        <v>1.4660765716752369</v>
      </c>
      <c r="G915" s="74">
        <f t="shared" si="316"/>
        <v>99.73080589064196</v>
      </c>
      <c r="H915" s="74">
        <f t="shared" si="317"/>
        <v>15.910153613341771</v>
      </c>
      <c r="I915" s="74">
        <f t="shared" si="329"/>
        <v>15.910153613341771</v>
      </c>
      <c r="J915" s="74">
        <f t="shared" si="331"/>
        <v>12.128168042573405</v>
      </c>
      <c r="K915" s="74">
        <f t="shared" si="330"/>
        <v>29.990563968899536</v>
      </c>
      <c r="L915" s="74">
        <f t="shared" si="318"/>
        <v>2.0540791752228045</v>
      </c>
      <c r="M915" s="74">
        <f t="shared" si="332"/>
        <v>3.602054296824678</v>
      </c>
      <c r="N915" s="74">
        <f t="shared" si="319"/>
        <v>-0.1338838050927462</v>
      </c>
      <c r="O915" s="74">
        <f t="shared" si="320"/>
        <v>52.52060714716829</v>
      </c>
      <c r="P915" s="74">
        <f t="shared" si="321"/>
        <v>0.3385430197547247</v>
      </c>
    </row>
    <row r="916" spans="2:16" ht="13.5">
      <c r="B916" s="74">
        <f t="shared" si="311"/>
        <v>41.91587836230797</v>
      </c>
      <c r="C916" s="70">
        <f t="shared" si="328"/>
        <v>56.62179999999999</v>
      </c>
      <c r="D916" s="70">
        <f t="shared" si="312"/>
        <v>85</v>
      </c>
      <c r="E916" s="74">
        <f t="shared" si="314"/>
        <v>0.9882368384057252</v>
      </c>
      <c r="F916" s="74">
        <f t="shared" si="315"/>
        <v>1.4835298641951802</v>
      </c>
      <c r="G916" s="74">
        <f t="shared" si="316"/>
        <v>99.73080589064196</v>
      </c>
      <c r="H916" s="74">
        <f t="shared" si="317"/>
        <v>13.24359644123674</v>
      </c>
      <c r="I916" s="74">
        <f t="shared" si="329"/>
        <v>13.24359644123674</v>
      </c>
      <c r="J916" s="74">
        <f t="shared" si="331"/>
        <v>9.956756386451493</v>
      </c>
      <c r="K916" s="74">
        <f t="shared" si="330"/>
        <v>28.944639396851734</v>
      </c>
      <c r="L916" s="74">
        <f t="shared" si="318"/>
        <v>2.0715324677427476</v>
      </c>
      <c r="M916" s="74">
        <f t="shared" si="332"/>
        <v>3.6359088404790922</v>
      </c>
      <c r="N916" s="74">
        <f t="shared" si="319"/>
        <v>-0.1985330643260647</v>
      </c>
      <c r="O916" s="74">
        <f t="shared" si="320"/>
        <v>51.16983917032173</v>
      </c>
      <c r="P916" s="74">
        <f t="shared" si="321"/>
        <v>0.36685635439096953</v>
      </c>
    </row>
    <row r="917" spans="2:16" ht="13.5">
      <c r="B917" s="74">
        <f t="shared" si="311"/>
        <v>41.32356178057318</v>
      </c>
      <c r="C917" s="70">
        <f>C916</f>
        <v>56.62179999999999</v>
      </c>
      <c r="D917" s="70">
        <f t="shared" si="312"/>
        <v>86</v>
      </c>
      <c r="E917" s="74">
        <f t="shared" si="314"/>
        <v>0.9882368384057252</v>
      </c>
      <c r="F917" s="74">
        <f t="shared" si="315"/>
        <v>1.5009831567151233</v>
      </c>
      <c r="G917" s="74">
        <f t="shared" si="316"/>
        <v>99.73080589064196</v>
      </c>
      <c r="H917" s="74">
        <f t="shared" si="317"/>
        <v>10.585171157948913</v>
      </c>
      <c r="I917" s="74">
        <f t="shared" si="329"/>
        <v>10.585171157948913</v>
      </c>
      <c r="J917" s="74">
        <f t="shared" si="331"/>
        <v>7.743460086500027</v>
      </c>
      <c r="K917" s="74">
        <f t="shared" si="330"/>
        <v>27.90190445914594</v>
      </c>
      <c r="L917" s="74">
        <f t="shared" si="318"/>
        <v>2.0889857602626907</v>
      </c>
      <c r="M917" s="74">
        <f t="shared" si="332"/>
        <v>3.6715347939252476</v>
      </c>
      <c r="N917" s="74">
        <f t="shared" si="319"/>
        <v>-0.26442935158799213</v>
      </c>
      <c r="O917" s="74">
        <f t="shared" si="320"/>
        <v>49.84522191583738</v>
      </c>
      <c r="P917" s="74">
        <f t="shared" si="321"/>
        <v>0.3962289299113319</v>
      </c>
    </row>
    <row r="918" spans="2:16" ht="13.5">
      <c r="B918" s="74">
        <f t="shared" si="311"/>
        <v>40.712971762969076</v>
      </c>
      <c r="C918" s="70">
        <f>C917</f>
        <v>56.62179999999999</v>
      </c>
      <c r="D918" s="70">
        <f t="shared" si="312"/>
        <v>87</v>
      </c>
      <c r="E918" s="74">
        <f t="shared" si="314"/>
        <v>0.9882368384057252</v>
      </c>
      <c r="F918" s="74">
        <f t="shared" si="315"/>
        <v>1.5184364492350666</v>
      </c>
      <c r="G918" s="74">
        <f t="shared" si="316"/>
        <v>99.73080589064196</v>
      </c>
      <c r="H918" s="74">
        <f t="shared" si="317"/>
        <v>7.933227588970383</v>
      </c>
      <c r="I918" s="74">
        <f t="shared" si="329"/>
        <v>7.933227588970383</v>
      </c>
      <c r="J918" s="74">
        <f t="shared" si="331"/>
        <v>5.4856666823648865</v>
      </c>
      <c r="K918" s="74">
        <f t="shared" si="330"/>
        <v>26.861711894930572</v>
      </c>
      <c r="L918" s="74">
        <f t="shared" si="318"/>
        <v>2.106439052782634</v>
      </c>
      <c r="M918" s="74">
        <f t="shared" si="332"/>
        <v>3.7090067869585464</v>
      </c>
      <c r="N918" s="74">
        <f t="shared" si="319"/>
        <v>-0.3316504474440855</v>
      </c>
      <c r="O918" s="74">
        <f t="shared" si="320"/>
        <v>48.54465307243076</v>
      </c>
      <c r="P918" s="74">
        <f t="shared" si="321"/>
        <v>0.42663134371826306</v>
      </c>
    </row>
    <row r="919" spans="2:16" ht="13.5">
      <c r="B919" s="74">
        <f t="shared" si="311"/>
        <v>40.0839193263602</v>
      </c>
      <c r="C919" s="70">
        <f>C918</f>
        <v>56.62179999999999</v>
      </c>
      <c r="D919" s="70">
        <f t="shared" si="312"/>
        <v>88</v>
      </c>
      <c r="E919" s="74">
        <f t="shared" si="314"/>
        <v>0.9882368384057252</v>
      </c>
      <c r="F919" s="74">
        <f t="shared" si="315"/>
        <v>1.53588974175501</v>
      </c>
      <c r="G919" s="74">
        <f t="shared" si="316"/>
        <v>99.73080589064196</v>
      </c>
      <c r="H919" s="74">
        <f t="shared" si="317"/>
        <v>5.286131481813329</v>
      </c>
      <c r="I919" s="74">
        <f t="shared" si="329"/>
        <v>5.286131481813329</v>
      </c>
      <c r="J919" s="74">
        <f t="shared" si="331"/>
        <v>3.180602221976846</v>
      </c>
      <c r="K919" s="74">
        <f t="shared" si="330"/>
        <v>25.823420688572526</v>
      </c>
      <c r="L919" s="74">
        <f t="shared" si="318"/>
        <v>2.1238923453025773</v>
      </c>
      <c r="M919" s="74">
        <f t="shared" si="332"/>
        <v>3.7484051255774977</v>
      </c>
      <c r="N919" s="74">
        <f t="shared" si="319"/>
        <v>-0.4002789405393484</v>
      </c>
      <c r="O919" s="74">
        <f t="shared" si="320"/>
        <v>47.2660919917525</v>
      </c>
      <c r="P919" s="74">
        <f t="shared" si="321"/>
        <v>0.4580261033302737</v>
      </c>
    </row>
    <row r="920" spans="2:16" ht="13.5">
      <c r="B920" s="74">
        <f t="shared" si="311"/>
        <v>39.43616896355111</v>
      </c>
      <c r="C920" s="70">
        <f>C919</f>
        <v>56.62179999999999</v>
      </c>
      <c r="D920" s="70">
        <f t="shared" si="312"/>
        <v>89</v>
      </c>
      <c r="E920" s="74">
        <f t="shared" si="314"/>
        <v>0.9882368384057252</v>
      </c>
      <c r="F920" s="74">
        <f t="shared" si="315"/>
        <v>1.5533430342749535</v>
      </c>
      <c r="G920" s="74">
        <f t="shared" si="316"/>
        <v>99.73080589064196</v>
      </c>
      <c r="H920" s="74">
        <f t="shared" si="317"/>
        <v>2.642260453508916</v>
      </c>
      <c r="I920" s="74">
        <f t="shared" si="329"/>
        <v>2.642260453508916</v>
      </c>
      <c r="J920" s="74">
        <f t="shared" si="331"/>
        <v>0.8253164850416557</v>
      </c>
      <c r="K920" s="74">
        <f t="shared" si="330"/>
        <v>24.78639448011291</v>
      </c>
      <c r="L920" s="74">
        <f t="shared" si="318"/>
        <v>2.141345637822521</v>
      </c>
      <c r="M920" s="74">
        <f t="shared" si="332"/>
        <v>3.7898162648555984</v>
      </c>
      <c r="N920" s="74">
        <f t="shared" si="319"/>
        <v>-0.47040266753803595</v>
      </c>
      <c r="O920" s="74">
        <f t="shared" si="320"/>
        <v>46.007551771105405</v>
      </c>
      <c r="P920" s="74">
        <f t="shared" si="321"/>
        <v>0.49036702015895334</v>
      </c>
    </row>
    <row r="921" spans="2:16" ht="13.5">
      <c r="B921" s="74">
        <f aca="true" t="shared" si="333" ref="B921:B931">O921*SIN(F921-F$4)</f>
        <v>38.76943862159258</v>
      </c>
      <c r="C921" s="70">
        <f>C920</f>
        <v>56.62179999999999</v>
      </c>
      <c r="D921" s="70">
        <f t="shared" si="312"/>
        <v>90</v>
      </c>
      <c r="E921" s="74">
        <f t="shared" si="314"/>
        <v>0.9882368384057252</v>
      </c>
      <c r="F921" s="74">
        <f t="shared" si="315"/>
        <v>1.5707963267948966</v>
      </c>
      <c r="G921" s="74">
        <f t="shared" si="316"/>
        <v>99.73080589064196</v>
      </c>
      <c r="H921" s="74">
        <f t="shared" si="317"/>
        <v>9.272842368089618E-15</v>
      </c>
      <c r="I921" s="74">
        <f t="shared" si="329"/>
        <v>9.272842368089618E-15</v>
      </c>
      <c r="J921" s="74">
        <f t="shared" si="331"/>
        <v>-1.5833333333333073</v>
      </c>
      <c r="K921" s="74">
        <f t="shared" si="330"/>
        <v>23.750000000000007</v>
      </c>
      <c r="L921" s="74">
        <f t="shared" si="318"/>
        <v>2.158798930342464</v>
      </c>
      <c r="M921" s="74">
        <f t="shared" si="332"/>
        <v>3.8333333333333317</v>
      </c>
      <c r="N921" s="74">
        <f t="shared" si="319"/>
        <v>-0.5421151989096857</v>
      </c>
      <c r="O921" s="74">
        <f t="shared" si="320"/>
        <v>44.7670916490143</v>
      </c>
      <c r="P921" s="74">
        <f t="shared" si="321"/>
        <v>0.5235987755982986</v>
      </c>
    </row>
    <row r="922" spans="2:16" ht="13.5">
      <c r="B922" s="74">
        <f t="shared" si="333"/>
        <v>41.94139965065838</v>
      </c>
      <c r="C922" s="70">
        <f>C921+J793</f>
        <v>56.77539999999999</v>
      </c>
      <c r="D922" s="70">
        <f t="shared" si="312"/>
        <v>60</v>
      </c>
      <c r="E922" s="74">
        <f t="shared" si="314"/>
        <v>0.9909176641367885</v>
      </c>
      <c r="F922" s="74">
        <f t="shared" si="315"/>
        <v>1.0471975511965976</v>
      </c>
      <c r="G922" s="74">
        <f t="shared" si="316"/>
        <v>99.14987443312967</v>
      </c>
      <c r="H922" s="74">
        <f t="shared" si="317"/>
        <v>56.61327536344993</v>
      </c>
      <c r="I922" s="74">
        <f t="shared" si="329"/>
        <v>87.39639699857963</v>
      </c>
      <c r="J922" s="74">
        <f t="shared" si="331"/>
        <v>56.61327536344993</v>
      </c>
      <c r="K922" s="74">
        <f t="shared" si="330"/>
        <v>58.03017223313404</v>
      </c>
      <c r="L922" s="74">
        <f t="shared" si="318"/>
        <v>1.6352001547441652</v>
      </c>
      <c r="M922" s="74">
        <f t="shared" si="332"/>
        <v>3.196152422706631</v>
      </c>
      <c r="N922" s="74">
        <f t="shared" si="319"/>
        <v>1.1905676074715958</v>
      </c>
      <c r="O922" s="74">
        <f t="shared" si="320"/>
        <v>83.88279930131678</v>
      </c>
      <c r="P922" s="74">
        <f t="shared" si="321"/>
        <v>0.36509623588558454</v>
      </c>
    </row>
    <row r="923" spans="2:16" ht="13.5">
      <c r="B923" s="74">
        <f t="shared" si="333"/>
        <v>42.25586740585192</v>
      </c>
      <c r="C923" s="70">
        <f>C922</f>
        <v>56.77539999999999</v>
      </c>
      <c r="D923" s="70">
        <f t="shared" si="312"/>
        <v>61</v>
      </c>
      <c r="E923" s="74">
        <f t="shared" si="314"/>
        <v>0.9909176641367885</v>
      </c>
      <c r="F923" s="74">
        <f t="shared" si="315"/>
        <v>1.064650843716541</v>
      </c>
      <c r="G923" s="74">
        <f t="shared" si="316"/>
        <v>99.14987443312967</v>
      </c>
      <c r="H923" s="74">
        <f t="shared" si="317"/>
        <v>54.91741842603781</v>
      </c>
      <c r="I923" s="74">
        <f t="shared" si="329"/>
        <v>83.90853266366291</v>
      </c>
      <c r="J923" s="74">
        <f t="shared" si="331"/>
        <v>54.91741842603781</v>
      </c>
      <c r="K923" s="74">
        <f t="shared" si="330"/>
        <v>56.662099930008154</v>
      </c>
      <c r="L923" s="74">
        <f t="shared" si="318"/>
        <v>1.6526534472641083</v>
      </c>
      <c r="M923" s="74">
        <f t="shared" si="332"/>
        <v>3.200241894286732</v>
      </c>
      <c r="N923" s="74">
        <f t="shared" si="319"/>
        <v>1.1400769994561701</v>
      </c>
      <c r="O923" s="74">
        <f t="shared" si="320"/>
        <v>82.04416229466425</v>
      </c>
      <c r="P923" s="74">
        <f t="shared" si="321"/>
        <v>0.3496566233778182</v>
      </c>
    </row>
    <row r="924" spans="2:16" ht="13.5">
      <c r="B924" s="74">
        <f t="shared" si="333"/>
        <v>42.535403221885346</v>
      </c>
      <c r="C924" s="70">
        <f aca="true" t="shared" si="334" ref="C924:C952">C923</f>
        <v>56.77539999999999</v>
      </c>
      <c r="D924" s="70">
        <f t="shared" si="312"/>
        <v>62</v>
      </c>
      <c r="E924" s="74">
        <f t="shared" si="314"/>
        <v>0.9909176641367885</v>
      </c>
      <c r="F924" s="74">
        <f t="shared" si="315"/>
        <v>1.0821041362364843</v>
      </c>
      <c r="G924" s="74">
        <f t="shared" si="316"/>
        <v>99.14987443312967</v>
      </c>
      <c r="H924" s="74">
        <f t="shared" si="317"/>
        <v>53.21669751699319</v>
      </c>
      <c r="I924" s="74">
        <f t="shared" si="329"/>
        <v>80.48751521775635</v>
      </c>
      <c r="J924" s="74">
        <f t="shared" si="331"/>
        <v>53.21669751699319</v>
      </c>
      <c r="K924" s="74">
        <f t="shared" si="330"/>
        <v>55.3202475049003</v>
      </c>
      <c r="L924" s="74">
        <f t="shared" si="318"/>
        <v>1.6701067397840519</v>
      </c>
      <c r="M924" s="74">
        <f t="shared" si="332"/>
        <v>3.205319466443784</v>
      </c>
      <c r="N924" s="74">
        <f t="shared" si="319"/>
        <v>1.0894415768165406</v>
      </c>
      <c r="O924" s="74">
        <f t="shared" si="320"/>
        <v>80.26770508793302</v>
      </c>
      <c r="P924" s="74">
        <f t="shared" si="321"/>
        <v>0.33597900712412576</v>
      </c>
    </row>
    <row r="925" spans="2:16" ht="13.5">
      <c r="B925" s="74">
        <f t="shared" si="333"/>
        <v>42.78115514570826</v>
      </c>
      <c r="C925" s="70">
        <f t="shared" si="334"/>
        <v>56.77539999999999</v>
      </c>
      <c r="D925" s="70">
        <f>D894</f>
        <v>63</v>
      </c>
      <c r="E925" s="74">
        <f t="shared" si="314"/>
        <v>0.9909176641367885</v>
      </c>
      <c r="F925" s="74">
        <f t="shared" si="315"/>
        <v>1.0995574287564276</v>
      </c>
      <c r="G925" s="74">
        <f t="shared" si="316"/>
        <v>99.14987443312967</v>
      </c>
      <c r="H925" s="74">
        <f t="shared" si="317"/>
        <v>51.51005054407396</v>
      </c>
      <c r="I925" s="74">
        <f t="shared" si="329"/>
        <v>77.12941491721917</v>
      </c>
      <c r="J925" s="74">
        <f t="shared" si="331"/>
        <v>51.51005054407396</v>
      </c>
      <c r="K925" s="74">
        <f t="shared" si="330"/>
        <v>54.00307356373172</v>
      </c>
      <c r="L925" s="74">
        <f t="shared" si="318"/>
        <v>1.687560032303995</v>
      </c>
      <c r="M925" s="74">
        <f t="shared" si="332"/>
        <v>3.2113929525108333</v>
      </c>
      <c r="N925" s="74">
        <f t="shared" si="319"/>
        <v>1.0386297179684278</v>
      </c>
      <c r="O925" s="74">
        <f t="shared" si="320"/>
        <v>78.54955740461733</v>
      </c>
      <c r="P925" s="74">
        <f t="shared" si="321"/>
        <v>0.3239949455469627</v>
      </c>
    </row>
    <row r="926" spans="2:16" ht="13.5">
      <c r="B926" s="74">
        <f t="shared" si="333"/>
        <v>42.99414858233538</v>
      </c>
      <c r="C926" s="70">
        <f t="shared" si="334"/>
        <v>56.77539999999999</v>
      </c>
      <c r="D926" s="70">
        <f>D895</f>
        <v>64</v>
      </c>
      <c r="E926" s="74">
        <f t="shared" si="314"/>
        <v>0.9909176641367885</v>
      </c>
      <c r="F926" s="74">
        <f t="shared" si="315"/>
        <v>1.117010721276371</v>
      </c>
      <c r="G926" s="74">
        <f t="shared" si="316"/>
        <v>99.14987443312967</v>
      </c>
      <c r="H926" s="74">
        <f t="shared" si="317"/>
        <v>49.7964007486329</v>
      </c>
      <c r="I926" s="74">
        <f t="shared" si="329"/>
        <v>73.83052059415728</v>
      </c>
      <c r="J926" s="74">
        <f t="shared" si="331"/>
        <v>49.7964007486329</v>
      </c>
      <c r="K926" s="74">
        <f t="shared" si="330"/>
        <v>52.70912244609802</v>
      </c>
      <c r="L926" s="74">
        <f t="shared" si="318"/>
        <v>1.7050133248239385</v>
      </c>
      <c r="M926" s="74">
        <f t="shared" si="332"/>
        <v>3.21847173736185</v>
      </c>
      <c r="N926" s="74">
        <f t="shared" si="319"/>
        <v>0.9876093646658881</v>
      </c>
      <c r="O926" s="74">
        <f t="shared" si="320"/>
        <v>76.88607690742008</v>
      </c>
      <c r="P926" s="74">
        <f t="shared" si="321"/>
        <v>0.31364164739567735</v>
      </c>
    </row>
    <row r="927" spans="2:16" ht="13.5">
      <c r="B927" s="74">
        <f t="shared" si="333"/>
        <v>43.17529394406509</v>
      </c>
      <c r="C927" s="70">
        <f t="shared" si="334"/>
        <v>56.77539999999999</v>
      </c>
      <c r="D927" s="70">
        <f>D896</f>
        <v>65</v>
      </c>
      <c r="E927" s="74">
        <f aca="true" t="shared" si="335" ref="E927:E983">C927*PI()/180</f>
        <v>0.9909176641367885</v>
      </c>
      <c r="F927" s="74">
        <f aca="true" t="shared" si="336" ref="F927:F983">D927*PI()/180</f>
        <v>1.1344640137963142</v>
      </c>
      <c r="G927" s="74">
        <f aca="true" t="shared" si="337" ref="G927:G983">(0.5*$D$3*$D$9+$D$5)*$D$9/TAN(E927)</f>
        <v>99.14987443312967</v>
      </c>
      <c r="H927" s="74">
        <f aca="true" t="shared" si="338" ref="H927:H983">IF(D927&gt;$F$17,I927,IF(D927&lt;$F$16,K927,J927))</f>
        <v>48.07465394252364</v>
      </c>
      <c r="I927" s="74">
        <f t="shared" si="329"/>
        <v>70.58732175321292</v>
      </c>
      <c r="J927" s="74">
        <f t="shared" si="331"/>
        <v>48.07465394252364</v>
      </c>
      <c r="K927" s="74">
        <f t="shared" si="330"/>
        <v>51.43701720295304</v>
      </c>
      <c r="L927" s="74">
        <f aca="true" t="shared" si="339" ref="L927:L983">F927+D$14</f>
        <v>1.7224666173438816</v>
      </c>
      <c r="M927" s="74">
        <f t="shared" si="332"/>
        <v>3.2265668130425462</v>
      </c>
      <c r="N927" s="74">
        <f aca="true" t="shared" si="340" ref="N927:N983">M927*SIN(D$17-F927)</f>
        <v>0.9363479397359457</v>
      </c>
      <c r="O927" s="74">
        <f aca="true" t="shared" si="341" ref="O927:O983">SIN(E927-F$4)/SIN(E927+F927-2*F$4)*(G927+H927)</f>
        <v>75.27382787677927</v>
      </c>
      <c r="P927" s="74">
        <f aca="true" t="shared" si="342" ref="P927:P983">ATAN((O927*COS(F927-F$4)-H927)/(O927*SIN(F927-F$4)))</f>
        <v>0.30486240343521387</v>
      </c>
    </row>
    <row r="928" spans="2:16" ht="13.5">
      <c r="B928" s="74">
        <f t="shared" si="333"/>
        <v>43.32539334803513</v>
      </c>
      <c r="C928" s="70">
        <f t="shared" si="334"/>
        <v>56.77539999999999</v>
      </c>
      <c r="D928" s="70">
        <f>D897</f>
        <v>66</v>
      </c>
      <c r="E928" s="74">
        <f t="shared" si="335"/>
        <v>0.9909176641367885</v>
      </c>
      <c r="F928" s="74">
        <f t="shared" si="336"/>
        <v>1.1519173063162575</v>
      </c>
      <c r="G928" s="74">
        <f t="shared" si="337"/>
        <v>99.14987443312967</v>
      </c>
      <c r="H928" s="74">
        <f t="shared" si="338"/>
        <v>46.34369565210348</v>
      </c>
      <c r="I928" s="74">
        <f t="shared" si="329"/>
        <v>67.39649223857965</v>
      </c>
      <c r="J928" s="74">
        <f t="shared" si="331"/>
        <v>46.34369565210348</v>
      </c>
      <c r="K928" s="74">
        <f t="shared" si="330"/>
        <v>50.18545319019432</v>
      </c>
      <c r="L928" s="74">
        <f t="shared" si="339"/>
        <v>1.7399199098638252</v>
      </c>
      <c r="M928" s="74">
        <f t="shared" si="332"/>
        <v>3.235690820800044</v>
      </c>
      <c r="N928" s="74">
        <f t="shared" si="340"/>
        <v>0.8848122620472225</v>
      </c>
      <c r="O928" s="74">
        <f t="shared" si="341"/>
        <v>73.70956174735234</v>
      </c>
      <c r="P928" s="74">
        <f t="shared" si="342"/>
        <v>0.2976068400126442</v>
      </c>
    </row>
    <row r="929" spans="2:16" ht="13.5">
      <c r="B929" s="74">
        <f t="shared" si="333"/>
        <v>43.445146449976434</v>
      </c>
      <c r="C929" s="70">
        <f t="shared" si="334"/>
        <v>56.77539999999999</v>
      </c>
      <c r="D929" s="70">
        <f>D898</f>
        <v>67</v>
      </c>
      <c r="E929" s="74">
        <f t="shared" si="335"/>
        <v>0.9909176641367885</v>
      </c>
      <c r="F929" s="74">
        <f t="shared" si="336"/>
        <v>1.1693705988362006</v>
      </c>
      <c r="G929" s="74">
        <f t="shared" si="337"/>
        <v>99.14987443312967</v>
      </c>
      <c r="H929" s="74">
        <f t="shared" si="338"/>
        <v>44.602388153158174</v>
      </c>
      <c r="I929" s="74">
        <f t="shared" si="329"/>
        <v>64.25487530372895</v>
      </c>
      <c r="J929" s="74">
        <f t="shared" si="331"/>
        <v>44.602388153158174</v>
      </c>
      <c r="K929" s="74">
        <f t="shared" si="330"/>
        <v>48.95319221244529</v>
      </c>
      <c r="L929" s="74">
        <f t="shared" si="339"/>
        <v>1.7573732023837683</v>
      </c>
      <c r="M929" s="74">
        <f t="shared" si="332"/>
        <v>3.2458580998131934</v>
      </c>
      <c r="N929" s="74">
        <f t="shared" si="340"/>
        <v>0.8329684582310031</v>
      </c>
      <c r="O929" s="74">
        <f t="shared" si="341"/>
        <v>72.1901992782258</v>
      </c>
      <c r="P929" s="74">
        <f t="shared" si="342"/>
        <v>0.291831041411534</v>
      </c>
    </row>
    <row r="930" spans="2:16" ht="13.5">
      <c r="B930" s="74">
        <f t="shared" si="333"/>
        <v>43.535155489227186</v>
      </c>
      <c r="C930" s="70">
        <f t="shared" si="334"/>
        <v>56.77539999999999</v>
      </c>
      <c r="D930" s="70">
        <f aca="true" t="shared" si="343" ref="D930:D983">D899</f>
        <v>68</v>
      </c>
      <c r="E930" s="74">
        <f t="shared" si="335"/>
        <v>0.9909176641367885</v>
      </c>
      <c r="F930" s="74">
        <f t="shared" si="336"/>
        <v>1.1868238913561442</v>
      </c>
      <c r="G930" s="74">
        <f t="shared" si="337"/>
        <v>99.14987443312967</v>
      </c>
      <c r="H930" s="74">
        <f t="shared" si="338"/>
        <v>42.84956737955771</v>
      </c>
      <c r="I930" s="74">
        <f t="shared" si="329"/>
        <v>61.15946993579685</v>
      </c>
      <c r="J930" s="74">
        <f t="shared" si="331"/>
        <v>42.84956737955771</v>
      </c>
      <c r="K930" s="74">
        <f t="shared" si="330"/>
        <v>47.739057158962424</v>
      </c>
      <c r="L930" s="74">
        <f t="shared" si="339"/>
        <v>1.7748264949037118</v>
      </c>
      <c r="M930" s="74">
        <f t="shared" si="332"/>
        <v>3.2570847429771757</v>
      </c>
      <c r="N930" s="74">
        <f t="shared" si="340"/>
        <v>0.7807818706428962</v>
      </c>
      <c r="O930" s="74">
        <f t="shared" si="341"/>
        <v>70.71281415846097</v>
      </c>
      <c r="P930" s="74">
        <f t="shared" si="342"/>
        <v>0.28749757804244264</v>
      </c>
    </row>
    <row r="931" spans="2:16" ht="13.5">
      <c r="B931" s="74">
        <f t="shared" si="333"/>
        <v>43.59592960881507</v>
      </c>
      <c r="C931" s="70">
        <f t="shared" si="334"/>
        <v>56.77539999999999</v>
      </c>
      <c r="D931" s="70">
        <f t="shared" si="343"/>
        <v>69</v>
      </c>
      <c r="E931" s="74">
        <f t="shared" si="335"/>
        <v>0.9909176641367885</v>
      </c>
      <c r="F931" s="74">
        <f t="shared" si="336"/>
        <v>1.2042771838760873</v>
      </c>
      <c r="G931" s="74">
        <f t="shared" si="337"/>
        <v>99.14987443312967</v>
      </c>
      <c r="H931" s="74">
        <f t="shared" si="338"/>
        <v>41.08403968726031</v>
      </c>
      <c r="I931" s="74">
        <f t="shared" si="329"/>
        <v>58.107418303486085</v>
      </c>
      <c r="J931" s="74">
        <f t="shared" si="331"/>
        <v>41.08403968726031</v>
      </c>
      <c r="K931" s="74">
        <f t="shared" si="330"/>
        <v>46.54192708022782</v>
      </c>
      <c r="L931" s="74">
        <f t="shared" si="339"/>
        <v>1.792279787423655</v>
      </c>
      <c r="M931" s="74">
        <f t="shared" si="332"/>
        <v>3.2693886601519666</v>
      </c>
      <c r="N931" s="74">
        <f t="shared" si="340"/>
        <v>0.7282169610177962</v>
      </c>
      <c r="O931" s="74">
        <f t="shared" si="341"/>
        <v>69.27461787165038</v>
      </c>
      <c r="P931" s="74">
        <f t="shared" si="342"/>
        <v>0.28457546899783676</v>
      </c>
    </row>
    <row r="932" spans="2:16" ht="13.5">
      <c r="B932" s="74">
        <f aca="true" t="shared" si="344" ref="B932:B983">O932*SIN(F932-F$4)</f>
        <v>43.62788850444887</v>
      </c>
      <c r="C932" s="70">
        <f t="shared" si="334"/>
        <v>56.77539999999999</v>
      </c>
      <c r="D932" s="70">
        <f t="shared" si="343"/>
        <v>70</v>
      </c>
      <c r="E932" s="74">
        <f t="shared" si="335"/>
        <v>0.9909176641367885</v>
      </c>
      <c r="F932" s="74">
        <f t="shared" si="336"/>
        <v>1.2217304763960306</v>
      </c>
      <c r="G932" s="74">
        <f t="shared" si="337"/>
        <v>99.14987443312967</v>
      </c>
      <c r="H932" s="74">
        <f t="shared" si="338"/>
        <v>39.30457845389725</v>
      </c>
      <c r="I932" s="74">
        <f t="shared" si="329"/>
        <v>55.09599421204639</v>
      </c>
      <c r="J932" s="74">
        <f t="shared" si="331"/>
        <v>39.30457845389725</v>
      </c>
      <c r="K932" s="74">
        <f t="shared" si="330"/>
        <v>45.360732659555765</v>
      </c>
      <c r="L932" s="74">
        <f t="shared" si="339"/>
        <v>1.809733079943598</v>
      </c>
      <c r="M932" s="74">
        <f t="shared" si="332"/>
        <v>3.2827896493451227</v>
      </c>
      <c r="N932" s="74">
        <f t="shared" si="340"/>
        <v>0.6752372092296027</v>
      </c>
      <c r="O932" s="74">
        <f t="shared" si="341"/>
        <v>67.8729456619806</v>
      </c>
      <c r="P932" s="74">
        <f t="shared" si="342"/>
        <v>0.28304010027553056</v>
      </c>
    </row>
    <row r="933" spans="2:16" ht="13.5">
      <c r="B933" s="74">
        <f t="shared" si="344"/>
        <v>43.631365447356444</v>
      </c>
      <c r="C933" s="70">
        <f t="shared" si="334"/>
        <v>56.77539999999999</v>
      </c>
      <c r="D933" s="70">
        <f t="shared" si="343"/>
        <v>71</v>
      </c>
      <c r="E933" s="74">
        <f t="shared" si="335"/>
        <v>0.9909176641367885</v>
      </c>
      <c r="F933" s="74">
        <f t="shared" si="336"/>
        <v>1.239183768915974</v>
      </c>
      <c r="G933" s="74">
        <f t="shared" si="337"/>
        <v>99.14987443312967</v>
      </c>
      <c r="H933" s="74">
        <f t="shared" si="338"/>
        <v>37.50992049257642</v>
      </c>
      <c r="I933" s="74">
        <f t="shared" si="329"/>
        <v>52.12259246172309</v>
      </c>
      <c r="J933" s="74">
        <f t="shared" si="331"/>
        <v>37.50992049257642</v>
      </c>
      <c r="K933" s="74">
        <f t="shared" si="330"/>
        <v>44.19445203907388</v>
      </c>
      <c r="L933" s="74">
        <f t="shared" si="339"/>
        <v>1.8271863724635415</v>
      </c>
      <c r="M933" s="74">
        <f t="shared" si="332"/>
        <v>3.297309476365921</v>
      </c>
      <c r="N933" s="74">
        <f t="shared" si="340"/>
        <v>0.6218050065196917</v>
      </c>
      <c r="O933" s="74">
        <f t="shared" si="341"/>
        <v>66.50524346032248</v>
      </c>
      <c r="P933" s="74">
        <f t="shared" si="342"/>
        <v>0.28287311390137604</v>
      </c>
    </row>
    <row r="934" spans="2:16" ht="13.5">
      <c r="B934" s="74">
        <f t="shared" si="344"/>
        <v>43.60660971787634</v>
      </c>
      <c r="C934" s="70">
        <f t="shared" si="334"/>
        <v>56.77539999999999</v>
      </c>
      <c r="D934" s="70">
        <f t="shared" si="343"/>
        <v>72</v>
      </c>
      <c r="E934" s="74">
        <f t="shared" si="335"/>
        <v>0.9909176641367885</v>
      </c>
      <c r="F934" s="74">
        <f t="shared" si="336"/>
        <v>1.2566370614359172</v>
      </c>
      <c r="G934" s="74">
        <f t="shared" si="337"/>
        <v>99.14987443312967</v>
      </c>
      <c r="H934" s="74">
        <f t="shared" si="338"/>
        <v>35.698762256707205</v>
      </c>
      <c r="I934" s="74">
        <f t="shared" si="329"/>
        <v>49.18471901725621</v>
      </c>
      <c r="J934" s="74">
        <f t="shared" si="331"/>
        <v>35.698762256707205</v>
      </c>
      <c r="K934" s="74">
        <f t="shared" si="330"/>
        <v>43.042106963828815</v>
      </c>
      <c r="L934" s="74">
        <f t="shared" si="339"/>
        <v>1.8446396649834846</v>
      </c>
      <c r="M934" s="74">
        <f t="shared" si="332"/>
        <v>3.3129719635610875</v>
      </c>
      <c r="N934" s="74">
        <f t="shared" si="340"/>
        <v>0.5678815425034818</v>
      </c>
      <c r="O934" s="74">
        <f t="shared" si="341"/>
        <v>65.16905564246434</v>
      </c>
      <c r="P934" s="74">
        <f t="shared" si="342"/>
        <v>0.28406227806820017</v>
      </c>
    </row>
    <row r="935" spans="2:16" ht="13.5">
      <c r="B935" s="74">
        <f t="shared" si="344"/>
        <v>43.55378847938592</v>
      </c>
      <c r="C935" s="70">
        <f t="shared" si="334"/>
        <v>56.77539999999999</v>
      </c>
      <c r="D935" s="70">
        <f t="shared" si="343"/>
        <v>73</v>
      </c>
      <c r="E935" s="74">
        <f t="shared" si="335"/>
        <v>0.9909176641367885</v>
      </c>
      <c r="F935" s="74">
        <f t="shared" si="336"/>
        <v>1.2740903539558606</v>
      </c>
      <c r="G935" s="74">
        <f t="shared" si="337"/>
        <v>99.14987443312967</v>
      </c>
      <c r="H935" s="74">
        <f t="shared" si="338"/>
        <v>33.86975581055276</v>
      </c>
      <c r="I935" s="74">
        <f t="shared" si="329"/>
        <v>46.27998190580472</v>
      </c>
      <c r="J935" s="74">
        <f t="shared" si="331"/>
        <v>33.86975581055276</v>
      </c>
      <c r="K935" s="74">
        <f t="shared" si="330"/>
        <v>41.90275921160796</v>
      </c>
      <c r="L935" s="74">
        <f t="shared" si="339"/>
        <v>1.8620929575034282</v>
      </c>
      <c r="M935" s="74">
        <f t="shared" si="332"/>
        <v>3.3298030883232532</v>
      </c>
      <c r="N935" s="74">
        <f t="shared" si="340"/>
        <v>0.5134266852020202</v>
      </c>
      <c r="O935" s="74">
        <f t="shared" si="341"/>
        <v>63.86201350307447</v>
      </c>
      <c r="P935" s="74">
        <f t="shared" si="342"/>
        <v>0.2866013440493514</v>
      </c>
    </row>
    <row r="936" spans="2:16" ht="13.5">
      <c r="B936" s="74">
        <f t="shared" si="344"/>
        <v>43.472988115386116</v>
      </c>
      <c r="C936" s="70">
        <f t="shared" si="334"/>
        <v>56.77539999999999</v>
      </c>
      <c r="D936" s="70">
        <f t="shared" si="343"/>
        <v>74</v>
      </c>
      <c r="E936" s="74">
        <f t="shared" si="335"/>
        <v>0.9909176641367885</v>
      </c>
      <c r="F936" s="74">
        <f t="shared" si="336"/>
        <v>1.2915436464758039</v>
      </c>
      <c r="G936" s="74">
        <f t="shared" si="337"/>
        <v>99.14987443312967</v>
      </c>
      <c r="H936" s="74">
        <f t="shared" si="338"/>
        <v>32.02150453781869</v>
      </c>
      <c r="I936" s="74">
        <f t="shared" si="329"/>
        <v>43.40608276923955</v>
      </c>
      <c r="J936" s="74">
        <f t="shared" si="331"/>
        <v>32.02150453781869</v>
      </c>
      <c r="K936" s="74">
        <f t="shared" si="330"/>
        <v>40.77550727942922</v>
      </c>
      <c r="L936" s="74">
        <f t="shared" si="339"/>
        <v>1.8795462500233713</v>
      </c>
      <c r="M936" s="74">
        <f t="shared" si="332"/>
        <v>3.347831092152982</v>
      </c>
      <c r="N936" s="74">
        <f t="shared" si="340"/>
        <v>0.4583988532741495</v>
      </c>
      <c r="O936" s="74">
        <f t="shared" si="341"/>
        <v>62.58182433857555</v>
      </c>
      <c r="P936" s="74">
        <f t="shared" si="342"/>
        <v>0.2904898918420251</v>
      </c>
    </row>
    <row r="937" spans="2:16" ht="13.5">
      <c r="B937" s="74">
        <f t="shared" si="344"/>
        <v>43.36421504622783</v>
      </c>
      <c r="C937" s="70">
        <f t="shared" si="334"/>
        <v>56.77539999999999</v>
      </c>
      <c r="D937" s="70">
        <f t="shared" si="343"/>
        <v>75</v>
      </c>
      <c r="E937" s="74">
        <f t="shared" si="335"/>
        <v>0.9909176641367885</v>
      </c>
      <c r="F937" s="74">
        <f t="shared" si="336"/>
        <v>1.3089969389957472</v>
      </c>
      <c r="G937" s="74">
        <f t="shared" si="337"/>
        <v>99.14987443312967</v>
      </c>
      <c r="H937" s="74">
        <f t="shared" si="338"/>
        <v>30.152558557855457</v>
      </c>
      <c r="I937" s="74">
        <f t="shared" si="329"/>
        <v>40.560809004261195</v>
      </c>
      <c r="J937" s="74">
        <f t="shared" si="331"/>
        <v>30.152558557855457</v>
      </c>
      <c r="K937" s="74">
        <f t="shared" si="330"/>
        <v>39.65948330059791</v>
      </c>
      <c r="L937" s="74">
        <f t="shared" si="339"/>
        <v>1.8969995425433148</v>
      </c>
      <c r="M937" s="74">
        <f t="shared" si="332"/>
        <v>3.3670866011551928</v>
      </c>
      <c r="N937" s="74">
        <f t="shared" si="340"/>
        <v>0.4027548795434824</v>
      </c>
      <c r="O937" s="74">
        <f t="shared" si="341"/>
        <v>61.326261040038816</v>
      </c>
      <c r="P937" s="74">
        <f t="shared" si="342"/>
        <v>0.2957331630628813</v>
      </c>
    </row>
    <row r="938" spans="2:16" ht="13.5">
      <c r="B938" s="74">
        <f t="shared" si="344"/>
        <v>43.227396035942405</v>
      </c>
      <c r="C938" s="70">
        <f t="shared" si="334"/>
        <v>56.77539999999999</v>
      </c>
      <c r="D938" s="70">
        <f t="shared" si="343"/>
        <v>76</v>
      </c>
      <c r="E938" s="74">
        <f t="shared" si="335"/>
        <v>0.9909176641367885</v>
      </c>
      <c r="F938" s="74">
        <f t="shared" si="336"/>
        <v>1.3264502315156903</v>
      </c>
      <c r="G938" s="74">
        <f t="shared" si="337"/>
        <v>99.14987443312967</v>
      </c>
      <c r="H938" s="74">
        <f t="shared" si="338"/>
        <v>28.2614098159386</v>
      </c>
      <c r="I938" s="74">
        <f t="shared" si="329"/>
        <v>37.7420264303865</v>
      </c>
      <c r="J938" s="74">
        <f t="shared" si="331"/>
        <v>28.2614098159386</v>
      </c>
      <c r="K938" s="74">
        <f t="shared" si="330"/>
        <v>38.55385016881386</v>
      </c>
      <c r="L938" s="74">
        <f t="shared" si="339"/>
        <v>1.914452835063258</v>
      </c>
      <c r="M938" s="74">
        <f>J$18/SIN(L938)*SIN(J$19)</f>
        <v>3.3876027589624966</v>
      </c>
      <c r="N938" s="74">
        <f t="shared" si="340"/>
        <v>0.34644986482172163</v>
      </c>
      <c r="O938" s="74">
        <f t="shared" si="341"/>
        <v>60.09315210362585</v>
      </c>
      <c r="P938" s="74">
        <f t="shared" si="342"/>
        <v>0.3023418763913592</v>
      </c>
    </row>
    <row r="939" spans="2:16" ht="13.5">
      <c r="B939" s="74">
        <f t="shared" si="344"/>
        <v>43.0623779938125</v>
      </c>
      <c r="C939" s="70">
        <f t="shared" si="334"/>
        <v>56.77539999999999</v>
      </c>
      <c r="D939" s="70">
        <f t="shared" si="343"/>
        <v>77</v>
      </c>
      <c r="E939" s="74">
        <f t="shared" si="335"/>
        <v>0.9909176641367885</v>
      </c>
      <c r="F939" s="74">
        <f t="shared" si="336"/>
        <v>1.3439035240356338</v>
      </c>
      <c r="G939" s="74">
        <f t="shared" si="337"/>
        <v>99.14987443312967</v>
      </c>
      <c r="H939" s="74">
        <f t="shared" si="338"/>
        <v>26.34648681054474</v>
      </c>
      <c r="I939" s="74">
        <f t="shared" si="329"/>
        <v>34.9476724316321</v>
      </c>
      <c r="J939" s="74">
        <f aca="true" t="shared" si="345" ref="J939:J948">0.5*$J$18*N939*$D$3+$G$18</f>
        <v>26.34648681054474</v>
      </c>
      <c r="K939" s="74">
        <f t="shared" si="330"/>
        <v>37.4577988480803</v>
      </c>
      <c r="L939" s="74">
        <f t="shared" si="339"/>
        <v>1.9319061275832015</v>
      </c>
      <c r="M939" s="74">
        <f aca="true" t="shared" si="346" ref="M939:M948">J$18/SIN(L939)*SIN(J$19)</f>
        <v>3.409415373203253</v>
      </c>
      <c r="N939" s="74">
        <f t="shared" si="340"/>
        <v>0.2894370209242849</v>
      </c>
      <c r="O939" s="74">
        <f t="shared" si="341"/>
        <v>58.88037197114766</v>
      </c>
      <c r="P939" s="74">
        <f t="shared" si="342"/>
        <v>0.31033201769268076</v>
      </c>
    </row>
    <row r="940" spans="2:16" ht="13.5">
      <c r="B940" s="74">
        <f t="shared" si="344"/>
        <v>42.868927269589925</v>
      </c>
      <c r="C940" s="70">
        <f t="shared" si="334"/>
        <v>56.77539999999999</v>
      </c>
      <c r="D940" s="70">
        <f t="shared" si="343"/>
        <v>78</v>
      </c>
      <c r="E940" s="74">
        <f t="shared" si="335"/>
        <v>0.9909176641367885</v>
      </c>
      <c r="F940" s="74">
        <f t="shared" si="336"/>
        <v>1.361356816555577</v>
      </c>
      <c r="G940" s="74">
        <f t="shared" si="337"/>
        <v>99.14987443312967</v>
      </c>
      <c r="H940" s="74">
        <f t="shared" si="338"/>
        <v>24.40614891650218</v>
      </c>
      <c r="I940" s="74">
        <f t="shared" si="329"/>
        <v>32.17574952279962</v>
      </c>
      <c r="J940" s="74">
        <f t="shared" si="345"/>
        <v>24.40614891650218</v>
      </c>
      <c r="K940" s="74">
        <f t="shared" si="330"/>
        <v>36.370545849157565</v>
      </c>
      <c r="L940" s="74">
        <f t="shared" si="339"/>
        <v>1.9493594201031446</v>
      </c>
      <c r="M940" s="74">
        <f t="shared" si="346"/>
        <v>3.4325630767730444</v>
      </c>
      <c r="N940" s="74">
        <f t="shared" si="340"/>
        <v>0.23166750165393885</v>
      </c>
      <c r="O940" s="74">
        <f t="shared" si="341"/>
        <v>57.685831617075515</v>
      </c>
      <c r="P940" s="74">
        <f t="shared" si="342"/>
        <v>0.3197245937379012</v>
      </c>
    </row>
    <row r="941" spans="2:16" ht="13.5">
      <c r="B941" s="74">
        <f t="shared" si="344"/>
        <v>42.64672843552669</v>
      </c>
      <c r="C941" s="70">
        <f t="shared" si="334"/>
        <v>56.77539999999999</v>
      </c>
      <c r="D941" s="70">
        <f t="shared" si="343"/>
        <v>79</v>
      </c>
      <c r="E941" s="74">
        <f t="shared" si="335"/>
        <v>0.9909176641367885</v>
      </c>
      <c r="F941" s="74">
        <f t="shared" si="336"/>
        <v>1.3788101090755203</v>
      </c>
      <c r="G941" s="74">
        <f t="shared" si="337"/>
        <v>99.14987443312967</v>
      </c>
      <c r="H941" s="74">
        <f t="shared" si="338"/>
        <v>22.438680258289008</v>
      </c>
      <c r="I941" s="74">
        <f t="shared" si="329"/>
        <v>29.424319295722153</v>
      </c>
      <c r="J941" s="74">
        <f t="shared" si="345"/>
        <v>22.438680258289008</v>
      </c>
      <c r="K941" s="74">
        <f t="shared" si="330"/>
        <v>35.29133085505204</v>
      </c>
      <c r="L941" s="74">
        <f t="shared" si="339"/>
        <v>1.9668127126230877</v>
      </c>
      <c r="M941" s="74">
        <f t="shared" si="346"/>
        <v>3.4570875053272205</v>
      </c>
      <c r="N941" s="74">
        <f t="shared" si="340"/>
        <v>0.17309022039101127</v>
      </c>
      <c r="O941" s="74">
        <f t="shared" si="341"/>
        <v>56.50746930089109</v>
      </c>
      <c r="P941" s="74">
        <f t="shared" si="342"/>
        <v>0.3305453350904146</v>
      </c>
    </row>
    <row r="942" spans="2:16" ht="13.5">
      <c r="B942" s="74">
        <f t="shared" si="344"/>
        <v>42.395382542534</v>
      </c>
      <c r="C942" s="70">
        <f t="shared" si="334"/>
        <v>56.77539999999999</v>
      </c>
      <c r="D942" s="70">
        <f t="shared" si="343"/>
        <v>80</v>
      </c>
      <c r="E942" s="74">
        <f t="shared" si="335"/>
        <v>0.9909176641367885</v>
      </c>
      <c r="F942" s="74">
        <f t="shared" si="336"/>
        <v>1.3962634015954636</v>
      </c>
      <c r="G942" s="74">
        <f t="shared" si="337"/>
        <v>99.14987443312967</v>
      </c>
      <c r="H942" s="74">
        <f t="shared" si="338"/>
        <v>20.442283082501756</v>
      </c>
      <c r="I942" s="74">
        <f t="shared" si="329"/>
        <v>26.691496704743898</v>
      </c>
      <c r="J942" s="74">
        <f t="shared" si="345"/>
        <v>20.442283082501756</v>
      </c>
      <c r="K942" s="74">
        <f t="shared" si="330"/>
        <v>34.21941447956511</v>
      </c>
      <c r="L942" s="74">
        <f t="shared" si="339"/>
        <v>1.9842660051430312</v>
      </c>
      <c r="M942" s="74">
        <f t="shared" si="346"/>
        <v>3.483033492591896</v>
      </c>
      <c r="N942" s="74">
        <f t="shared" si="340"/>
        <v>0.1136516527724497</v>
      </c>
      <c r="O942" s="74">
        <f t="shared" si="341"/>
        <v>55.34324140505432</v>
      </c>
      <c r="P942" s="74">
        <f t="shared" si="342"/>
        <v>0.3428243302074198</v>
      </c>
    </row>
    <row r="943" spans="2:16" ht="13.5">
      <c r="B943" s="74">
        <f t="shared" si="344"/>
        <v>42.11440483171532</v>
      </c>
      <c r="C943" s="70">
        <f t="shared" si="334"/>
        <v>56.77539999999999</v>
      </c>
      <c r="D943" s="70">
        <f t="shared" si="343"/>
        <v>81</v>
      </c>
      <c r="E943" s="74">
        <f t="shared" si="335"/>
        <v>0.9909176641367885</v>
      </c>
      <c r="F943" s="74">
        <f t="shared" si="336"/>
        <v>1.413716694115407</v>
      </c>
      <c r="G943" s="74">
        <f t="shared" si="337"/>
        <v>99.14987443312967</v>
      </c>
      <c r="H943" s="74">
        <f t="shared" si="338"/>
        <v>18.415070572518374</v>
      </c>
      <c r="I943" s="74">
        <f t="shared" si="329"/>
        <v>23.97544465412669</v>
      </c>
      <c r="J943" s="74">
        <f t="shared" si="345"/>
        <v>18.415070572518374</v>
      </c>
      <c r="K943" s="74">
        <f t="shared" si="330"/>
        <v>33.15407614426935</v>
      </c>
      <c r="L943" s="74">
        <f t="shared" si="339"/>
        <v>2.0017192976629743</v>
      </c>
      <c r="M943" s="74">
        <f t="shared" si="346"/>
        <v>3.510449285294637</v>
      </c>
      <c r="N943" s="74">
        <f t="shared" si="340"/>
        <v>0.053295622763378</v>
      </c>
      <c r="O943" s="74">
        <f t="shared" si="341"/>
        <v>54.191113279107114</v>
      </c>
      <c r="P943" s="74">
        <f t="shared" si="342"/>
        <v>0.35659556912879686</v>
      </c>
    </row>
    <row r="944" spans="2:16" ht="13.5">
      <c r="B944" s="74">
        <f t="shared" si="344"/>
        <v>43.58360469911739</v>
      </c>
      <c r="C944" s="70">
        <f t="shared" si="334"/>
        <v>56.77539999999999</v>
      </c>
      <c r="D944" s="70">
        <f t="shared" si="343"/>
        <v>82</v>
      </c>
      <c r="E944" s="74">
        <f t="shared" si="335"/>
        <v>0.9909176641367885</v>
      </c>
      <c r="F944" s="74">
        <f t="shared" si="336"/>
        <v>1.43116998663535</v>
      </c>
      <c r="G944" s="74">
        <f t="shared" si="337"/>
        <v>99.14987443312967</v>
      </c>
      <c r="H944" s="74">
        <f t="shared" si="338"/>
        <v>21.274368853074545</v>
      </c>
      <c r="I944" s="74">
        <f t="shared" si="329"/>
        <v>21.274368853074545</v>
      </c>
      <c r="J944" s="74">
        <f t="shared" si="345"/>
        <v>16.355059041525283</v>
      </c>
      <c r="K944" s="74">
        <f t="shared" si="330"/>
        <v>32.09461206045451</v>
      </c>
      <c r="L944" s="74">
        <f t="shared" si="339"/>
        <v>2.0191725901829174</v>
      </c>
      <c r="M944" s="74">
        <f t="shared" si="346"/>
        <v>3.539386779747792</v>
      </c>
      <c r="N944" s="74">
        <f t="shared" si="340"/>
        <v>-0.008036929779261789</v>
      </c>
      <c r="O944" s="74">
        <f t="shared" si="341"/>
        <v>55.308388241702815</v>
      </c>
      <c r="P944" s="74">
        <f t="shared" si="342"/>
        <v>0.28516781538949215</v>
      </c>
    </row>
    <row r="945" spans="2:16" ht="13.5">
      <c r="B945" s="74">
        <f t="shared" si="344"/>
        <v>43.04282419330248</v>
      </c>
      <c r="C945" s="70">
        <f t="shared" si="334"/>
        <v>56.77539999999999</v>
      </c>
      <c r="D945" s="70">
        <f t="shared" si="343"/>
        <v>83</v>
      </c>
      <c r="E945" s="74">
        <f t="shared" si="335"/>
        <v>0.9909176641367885</v>
      </c>
      <c r="F945" s="74">
        <f t="shared" si="336"/>
        <v>1.4486232791552935</v>
      </c>
      <c r="G945" s="74">
        <f t="shared" si="337"/>
        <v>99.14987443312967</v>
      </c>
      <c r="H945" s="74">
        <f t="shared" si="338"/>
        <v>18.586512906677186</v>
      </c>
      <c r="I945" s="74">
        <f t="shared" si="329"/>
        <v>18.586512906677186</v>
      </c>
      <c r="J945" s="74">
        <f t="shared" si="345"/>
        <v>14.26015943222883</v>
      </c>
      <c r="K945" s="74">
        <f t="shared" si="330"/>
        <v>31.040333303609955</v>
      </c>
      <c r="L945" s="74">
        <f t="shared" si="339"/>
        <v>2.036625882702861</v>
      </c>
      <c r="M945" s="74">
        <f t="shared" si="346"/>
        <v>3.569901782381449</v>
      </c>
      <c r="N945" s="74">
        <f t="shared" si="340"/>
        <v>-0.0704082021850964</v>
      </c>
      <c r="O945" s="74">
        <f t="shared" si="341"/>
        <v>53.89545500018351</v>
      </c>
      <c r="P945" s="74">
        <f t="shared" si="342"/>
        <v>0.31128017005644165</v>
      </c>
    </row>
    <row r="946" spans="2:16" ht="13.5">
      <c r="B946" s="74">
        <f t="shared" si="344"/>
        <v>42.48391417506394</v>
      </c>
      <c r="C946" s="70">
        <f t="shared" si="334"/>
        <v>56.77539999999999</v>
      </c>
      <c r="D946" s="70">
        <f t="shared" si="343"/>
        <v>84</v>
      </c>
      <c r="E946" s="74">
        <f t="shared" si="335"/>
        <v>0.9909176641367885</v>
      </c>
      <c r="F946" s="74">
        <f t="shared" si="336"/>
        <v>1.4660765716752369</v>
      </c>
      <c r="G946" s="74">
        <f t="shared" si="337"/>
        <v>99.14987443312967</v>
      </c>
      <c r="H946" s="74">
        <f t="shared" si="338"/>
        <v>15.910153613341771</v>
      </c>
      <c r="I946" s="74">
        <f t="shared" si="329"/>
        <v>15.910153613341771</v>
      </c>
      <c r="J946" s="74">
        <f t="shared" si="345"/>
        <v>12.128168042573405</v>
      </c>
      <c r="K946" s="74">
        <f t="shared" si="330"/>
        <v>29.990563968899536</v>
      </c>
      <c r="L946" s="74">
        <f t="shared" si="339"/>
        <v>2.0540791752228045</v>
      </c>
      <c r="M946" s="74">
        <f t="shared" si="346"/>
        <v>3.602054296824678</v>
      </c>
      <c r="N946" s="74">
        <f t="shared" si="340"/>
        <v>-0.1338838050927462</v>
      </c>
      <c r="O946" s="74">
        <f t="shared" si="341"/>
        <v>52.51300587064593</v>
      </c>
      <c r="P946" s="74">
        <f t="shared" si="342"/>
        <v>0.3384947963331761</v>
      </c>
    </row>
    <row r="947" spans="2:16" ht="13.5">
      <c r="B947" s="74">
        <f t="shared" si="344"/>
        <v>41.90682526264815</v>
      </c>
      <c r="C947" s="70">
        <f t="shared" si="334"/>
        <v>56.77539999999999</v>
      </c>
      <c r="D947" s="70">
        <f t="shared" si="343"/>
        <v>85</v>
      </c>
      <c r="E947" s="74">
        <f t="shared" si="335"/>
        <v>0.9909176641367885</v>
      </c>
      <c r="F947" s="74">
        <f t="shared" si="336"/>
        <v>1.4835298641951802</v>
      </c>
      <c r="G947" s="74">
        <f t="shared" si="337"/>
        <v>99.14987443312967</v>
      </c>
      <c r="H947" s="74">
        <f t="shared" si="338"/>
        <v>13.24359644123674</v>
      </c>
      <c r="I947" s="74">
        <f t="shared" si="329"/>
        <v>13.24359644123674</v>
      </c>
      <c r="J947" s="74">
        <f t="shared" si="345"/>
        <v>9.956756386451493</v>
      </c>
      <c r="K947" s="74">
        <f t="shared" si="330"/>
        <v>28.944639396851734</v>
      </c>
      <c r="L947" s="74">
        <f t="shared" si="339"/>
        <v>2.0715324677427476</v>
      </c>
      <c r="M947" s="74">
        <f t="shared" si="346"/>
        <v>3.6359088404790922</v>
      </c>
      <c r="N947" s="74">
        <f t="shared" si="340"/>
        <v>-0.1985330643260647</v>
      </c>
      <c r="O947" s="74">
        <f t="shared" si="341"/>
        <v>51.15878737630749</v>
      </c>
      <c r="P947" s="74">
        <f t="shared" si="342"/>
        <v>0.36679687851907306</v>
      </c>
    </row>
    <row r="948" spans="2:16" ht="13.5">
      <c r="B948" s="74">
        <f t="shared" si="344"/>
        <v>41.31145978556741</v>
      </c>
      <c r="C948" s="70">
        <f t="shared" si="334"/>
        <v>56.77539999999999</v>
      </c>
      <c r="D948" s="70">
        <f t="shared" si="343"/>
        <v>86</v>
      </c>
      <c r="E948" s="74">
        <f t="shared" si="335"/>
        <v>0.9909176641367885</v>
      </c>
      <c r="F948" s="74">
        <f t="shared" si="336"/>
        <v>1.5009831567151233</v>
      </c>
      <c r="G948" s="74">
        <f t="shared" si="337"/>
        <v>99.14987443312967</v>
      </c>
      <c r="H948" s="74">
        <f t="shared" si="338"/>
        <v>10.585171157948913</v>
      </c>
      <c r="I948" s="74">
        <f t="shared" si="329"/>
        <v>10.585171157948913</v>
      </c>
      <c r="J948" s="74">
        <f t="shared" si="345"/>
        <v>7.743460086500027</v>
      </c>
      <c r="K948" s="74">
        <f t="shared" si="330"/>
        <v>27.90190445914594</v>
      </c>
      <c r="L948" s="74">
        <f t="shared" si="339"/>
        <v>2.0889857602626907</v>
      </c>
      <c r="M948" s="74">
        <f t="shared" si="346"/>
        <v>3.6715347939252476</v>
      </c>
      <c r="N948" s="74">
        <f t="shared" si="340"/>
        <v>-0.26442935158799213</v>
      </c>
      <c r="O948" s="74">
        <f t="shared" si="341"/>
        <v>49.830624272248706</v>
      </c>
      <c r="P948" s="74">
        <f t="shared" si="342"/>
        <v>0.3961650664371799</v>
      </c>
    </row>
    <row r="949" spans="2:16" ht="13.5">
      <c r="B949" s="74">
        <f t="shared" si="344"/>
        <v>40.69767252865562</v>
      </c>
      <c r="C949" s="70">
        <f t="shared" si="334"/>
        <v>56.77539999999999</v>
      </c>
      <c r="D949" s="70">
        <f t="shared" si="343"/>
        <v>87</v>
      </c>
      <c r="E949" s="74">
        <f t="shared" si="335"/>
        <v>0.9909176641367885</v>
      </c>
      <c r="F949" s="74">
        <f t="shared" si="336"/>
        <v>1.5184364492350666</v>
      </c>
      <c r="G949" s="74">
        <f t="shared" si="337"/>
        <v>99.14987443312967</v>
      </c>
      <c r="H949" s="74">
        <f t="shared" si="338"/>
        <v>7.933227588970383</v>
      </c>
      <c r="I949" s="74">
        <f aca="true" t="shared" si="347" ref="I949:I969">(0.5*$D$3*$D$9+$D$6)*$D$9/TAN(F949)</f>
        <v>7.933227588970383</v>
      </c>
      <c r="J949" s="74">
        <f aca="true" t="shared" si="348" ref="J949:J983">0.5*$J$18*N949*$D$3+$G$18</f>
        <v>5.4856666823648865</v>
      </c>
      <c r="K949" s="74">
        <f aca="true" t="shared" si="349" ref="K949:K969">0.5*$D$3*$D$8^2*(1/TAN(F949)-1/TAN($D$16))+$G$19</f>
        <v>26.861711894930572</v>
      </c>
      <c r="L949" s="74">
        <f t="shared" si="339"/>
        <v>2.106439052782634</v>
      </c>
      <c r="M949" s="74">
        <f aca="true" t="shared" si="350" ref="M949:M983">J$18/SIN(L949)*SIN(J$19)</f>
        <v>3.7090067869585464</v>
      </c>
      <c r="N949" s="74">
        <f t="shared" si="340"/>
        <v>-0.3316504474440855</v>
      </c>
      <c r="O949" s="74">
        <f t="shared" si="341"/>
        <v>48.52641082702691</v>
      </c>
      <c r="P949" s="74">
        <f t="shared" si="342"/>
        <v>0.42657063372133613</v>
      </c>
    </row>
    <row r="950" spans="2:16" ht="13.5">
      <c r="B950" s="74">
        <f t="shared" si="344"/>
        <v>40.06527120799502</v>
      </c>
      <c r="C950" s="70">
        <f t="shared" si="334"/>
        <v>56.77539999999999</v>
      </c>
      <c r="D950" s="70">
        <f t="shared" si="343"/>
        <v>88</v>
      </c>
      <c r="E950" s="74">
        <f t="shared" si="335"/>
        <v>0.9909176641367885</v>
      </c>
      <c r="F950" s="74">
        <f t="shared" si="336"/>
        <v>1.53588974175501</v>
      </c>
      <c r="G950" s="74">
        <f t="shared" si="337"/>
        <v>99.14987443312967</v>
      </c>
      <c r="H950" s="74">
        <f t="shared" si="338"/>
        <v>5.286131481813329</v>
      </c>
      <c r="I950" s="74">
        <f t="shared" si="347"/>
        <v>5.286131481813329</v>
      </c>
      <c r="J950" s="74">
        <f t="shared" si="348"/>
        <v>3.180602221976846</v>
      </c>
      <c r="K950" s="74">
        <f t="shared" si="349"/>
        <v>25.823420688572526</v>
      </c>
      <c r="L950" s="74">
        <f t="shared" si="339"/>
        <v>2.1238923453025773</v>
      </c>
      <c r="M950" s="74">
        <f t="shared" si="350"/>
        <v>3.7484051255774977</v>
      </c>
      <c r="N950" s="74">
        <f t="shared" si="340"/>
        <v>-0.4002789405393484</v>
      </c>
      <c r="O950" s="74">
        <f t="shared" si="341"/>
        <v>47.24410253331294</v>
      </c>
      <c r="P950" s="74">
        <f t="shared" si="342"/>
        <v>0.4579767223693642</v>
      </c>
    </row>
    <row r="951" spans="2:16" ht="13.5">
      <c r="B951" s="74">
        <f t="shared" si="344"/>
        <v>39.41401668732841</v>
      </c>
      <c r="C951" s="70">
        <f t="shared" si="334"/>
        <v>56.77539999999999</v>
      </c>
      <c r="D951" s="70">
        <f t="shared" si="343"/>
        <v>89</v>
      </c>
      <c r="E951" s="74">
        <f t="shared" si="335"/>
        <v>0.9909176641367885</v>
      </c>
      <c r="F951" s="74">
        <f t="shared" si="336"/>
        <v>1.5533430342749535</v>
      </c>
      <c r="G951" s="74">
        <f t="shared" si="337"/>
        <v>99.14987443312967</v>
      </c>
      <c r="H951" s="74">
        <f t="shared" si="338"/>
        <v>2.642260453508916</v>
      </c>
      <c r="I951" s="74">
        <f t="shared" si="347"/>
        <v>2.642260453508916</v>
      </c>
      <c r="J951" s="74">
        <f t="shared" si="348"/>
        <v>0.8253164850416557</v>
      </c>
      <c r="K951" s="74">
        <f t="shared" si="349"/>
        <v>24.78639448011291</v>
      </c>
      <c r="L951" s="74">
        <f t="shared" si="339"/>
        <v>2.141345637822521</v>
      </c>
      <c r="M951" s="74">
        <f t="shared" si="350"/>
        <v>3.7898162648555984</v>
      </c>
      <c r="N951" s="74">
        <f t="shared" si="340"/>
        <v>-0.47040266753803595</v>
      </c>
      <c r="O951" s="74">
        <f t="shared" si="341"/>
        <v>45.981708185839665</v>
      </c>
      <c r="P951" s="74">
        <f t="shared" si="342"/>
        <v>0.4903377145901958</v>
      </c>
    </row>
    <row r="952" spans="2:16" ht="13.5">
      <c r="B952" s="74">
        <f t="shared" si="344"/>
        <v>38.743622941080616</v>
      </c>
      <c r="C952" s="70">
        <f t="shared" si="334"/>
        <v>56.77539999999999</v>
      </c>
      <c r="D952" s="70">
        <f t="shared" si="343"/>
        <v>90</v>
      </c>
      <c r="E952" s="74">
        <f t="shared" si="335"/>
        <v>0.9909176641367885</v>
      </c>
      <c r="F952" s="74">
        <f t="shared" si="336"/>
        <v>1.5707963267948966</v>
      </c>
      <c r="G952" s="74">
        <f t="shared" si="337"/>
        <v>99.14987443312967</v>
      </c>
      <c r="H952" s="74">
        <f t="shared" si="338"/>
        <v>9.272842368089618E-15</v>
      </c>
      <c r="I952" s="74">
        <f t="shared" si="347"/>
        <v>9.272842368089618E-15</v>
      </c>
      <c r="J952" s="74">
        <f t="shared" si="348"/>
        <v>-1.5833333333333073</v>
      </c>
      <c r="K952" s="74">
        <f t="shared" si="349"/>
        <v>23.750000000000007</v>
      </c>
      <c r="L952" s="74">
        <f t="shared" si="339"/>
        <v>2.158798930342464</v>
      </c>
      <c r="M952" s="74">
        <f t="shared" si="350"/>
        <v>3.8333333333333317</v>
      </c>
      <c r="N952" s="74">
        <f t="shared" si="340"/>
        <v>-0.5421151989096857</v>
      </c>
      <c r="O952" s="74">
        <f t="shared" si="341"/>
        <v>44.73728226882851</v>
      </c>
      <c r="P952" s="74">
        <f t="shared" si="342"/>
        <v>0.5235987755982986</v>
      </c>
    </row>
    <row r="953" spans="2:16" ht="13.5">
      <c r="B953" s="74">
        <f t="shared" si="344"/>
        <v>41.93388973326375</v>
      </c>
      <c r="C953" s="70">
        <f>C952+J793</f>
        <v>56.92899999999999</v>
      </c>
      <c r="D953" s="70">
        <f t="shared" si="343"/>
        <v>60</v>
      </c>
      <c r="E953" s="74">
        <f t="shared" si="335"/>
        <v>0.9935984898678516</v>
      </c>
      <c r="F953" s="74">
        <f t="shared" si="336"/>
        <v>1.0471975511965976</v>
      </c>
      <c r="G953" s="74">
        <f t="shared" si="337"/>
        <v>98.57097955153156</v>
      </c>
      <c r="H953" s="74">
        <f t="shared" si="338"/>
        <v>56.61327536344993</v>
      </c>
      <c r="I953" s="74">
        <f t="shared" si="347"/>
        <v>87.39639699857963</v>
      </c>
      <c r="J953" s="74">
        <f t="shared" si="348"/>
        <v>56.61327536344993</v>
      </c>
      <c r="K953" s="74">
        <f t="shared" si="349"/>
        <v>58.03017223313404</v>
      </c>
      <c r="L953" s="74">
        <f t="shared" si="339"/>
        <v>1.6352001547441652</v>
      </c>
      <c r="M953" s="74">
        <f t="shared" si="350"/>
        <v>3.196152422706631</v>
      </c>
      <c r="N953" s="74">
        <f t="shared" si="340"/>
        <v>1.1905676074715958</v>
      </c>
      <c r="O953" s="74">
        <f t="shared" si="341"/>
        <v>83.86777946652751</v>
      </c>
      <c r="P953" s="74">
        <f t="shared" si="342"/>
        <v>0.36488529669539216</v>
      </c>
    </row>
    <row r="954" spans="2:16" ht="13.5">
      <c r="B954" s="74">
        <f t="shared" si="344"/>
        <v>42.24935478539394</v>
      </c>
      <c r="C954" s="70">
        <f>C953</f>
        <v>56.92899999999999</v>
      </c>
      <c r="D954" s="70">
        <f t="shared" si="343"/>
        <v>61</v>
      </c>
      <c r="E954" s="74">
        <f t="shared" si="335"/>
        <v>0.9935984898678516</v>
      </c>
      <c r="F954" s="74">
        <f t="shared" si="336"/>
        <v>1.064650843716541</v>
      </c>
      <c r="G954" s="74">
        <f t="shared" si="337"/>
        <v>98.57097955153156</v>
      </c>
      <c r="H954" s="74">
        <f t="shared" si="338"/>
        <v>54.91741842603781</v>
      </c>
      <c r="I954" s="74">
        <f t="shared" si="347"/>
        <v>83.90853266366291</v>
      </c>
      <c r="J954" s="74">
        <f t="shared" si="348"/>
        <v>54.91741842603781</v>
      </c>
      <c r="K954" s="74">
        <f t="shared" si="349"/>
        <v>56.662099930008154</v>
      </c>
      <c r="L954" s="74">
        <f t="shared" si="339"/>
        <v>1.6526534472641083</v>
      </c>
      <c r="M954" s="74">
        <f t="shared" si="350"/>
        <v>3.200241894286732</v>
      </c>
      <c r="N954" s="74">
        <f t="shared" si="340"/>
        <v>1.1400769994561701</v>
      </c>
      <c r="O954" s="74">
        <f t="shared" si="341"/>
        <v>82.03151736456054</v>
      </c>
      <c r="P954" s="74">
        <f t="shared" si="342"/>
        <v>0.34947978705596766</v>
      </c>
    </row>
    <row r="955" spans="2:16" ht="13.5">
      <c r="B955" s="74">
        <f t="shared" si="344"/>
        <v>42.52980307844325</v>
      </c>
      <c r="C955" s="70">
        <f aca="true" t="shared" si="351" ref="C955:C983">C954</f>
        <v>56.92899999999999</v>
      </c>
      <c r="D955" s="70">
        <f t="shared" si="343"/>
        <v>62</v>
      </c>
      <c r="E955" s="74">
        <f t="shared" si="335"/>
        <v>0.9935984898678516</v>
      </c>
      <c r="F955" s="74">
        <f t="shared" si="336"/>
        <v>1.0821041362364843</v>
      </c>
      <c r="G955" s="74">
        <f t="shared" si="337"/>
        <v>98.57097955153156</v>
      </c>
      <c r="H955" s="74">
        <f t="shared" si="338"/>
        <v>53.21669751699319</v>
      </c>
      <c r="I955" s="74">
        <f t="shared" si="347"/>
        <v>80.48751521775635</v>
      </c>
      <c r="J955" s="74">
        <f t="shared" si="348"/>
        <v>53.21669751699319</v>
      </c>
      <c r="K955" s="74">
        <f t="shared" si="349"/>
        <v>55.3202475049003</v>
      </c>
      <c r="L955" s="74">
        <f t="shared" si="339"/>
        <v>1.6701067397840519</v>
      </c>
      <c r="M955" s="74">
        <f t="shared" si="350"/>
        <v>3.205319466443784</v>
      </c>
      <c r="N955" s="74">
        <f t="shared" si="340"/>
        <v>1.0894415768165406</v>
      </c>
      <c r="O955" s="74">
        <f t="shared" si="341"/>
        <v>80.25713716972345</v>
      </c>
      <c r="P955" s="74">
        <f t="shared" si="342"/>
        <v>0.33583216510160774</v>
      </c>
    </row>
    <row r="956" spans="2:16" ht="13.5">
      <c r="B956" s="74">
        <f t="shared" si="344"/>
        <v>42.77637885837596</v>
      </c>
      <c r="C956" s="70">
        <f t="shared" si="351"/>
        <v>56.92899999999999</v>
      </c>
      <c r="D956" s="70">
        <f t="shared" si="343"/>
        <v>63</v>
      </c>
      <c r="E956" s="74">
        <f t="shared" si="335"/>
        <v>0.9935984898678516</v>
      </c>
      <c r="F956" s="74">
        <f t="shared" si="336"/>
        <v>1.0995574287564276</v>
      </c>
      <c r="G956" s="74">
        <f t="shared" si="337"/>
        <v>98.57097955153156</v>
      </c>
      <c r="H956" s="74">
        <f t="shared" si="338"/>
        <v>51.51005054407396</v>
      </c>
      <c r="I956" s="74">
        <f t="shared" si="347"/>
        <v>77.12941491721917</v>
      </c>
      <c r="J956" s="74">
        <f t="shared" si="348"/>
        <v>51.51005054407396</v>
      </c>
      <c r="K956" s="74">
        <f t="shared" si="349"/>
        <v>54.00307356373172</v>
      </c>
      <c r="L956" s="74">
        <f t="shared" si="339"/>
        <v>1.687560032303995</v>
      </c>
      <c r="M956" s="74">
        <f t="shared" si="350"/>
        <v>3.2113929525108333</v>
      </c>
      <c r="N956" s="74">
        <f t="shared" si="340"/>
        <v>1.0386297179684278</v>
      </c>
      <c r="O956" s="74">
        <f t="shared" si="341"/>
        <v>78.54078776633358</v>
      </c>
      <c r="P956" s="74">
        <f t="shared" si="342"/>
        <v>0.32387412695355733</v>
      </c>
    </row>
    <row r="957" spans="2:16" ht="13.5">
      <c r="B957" s="74">
        <f t="shared" si="344"/>
        <v>42.99010392432834</v>
      </c>
      <c r="C957" s="70">
        <f t="shared" si="351"/>
        <v>56.92899999999999</v>
      </c>
      <c r="D957" s="70">
        <f t="shared" si="343"/>
        <v>64</v>
      </c>
      <c r="E957" s="74">
        <f t="shared" si="335"/>
        <v>0.9935984898678516</v>
      </c>
      <c r="F957" s="74">
        <f t="shared" si="336"/>
        <v>1.117010721276371</v>
      </c>
      <c r="G957" s="74">
        <f t="shared" si="337"/>
        <v>98.57097955153156</v>
      </c>
      <c r="H957" s="74">
        <f t="shared" si="338"/>
        <v>49.7964007486329</v>
      </c>
      <c r="I957" s="74">
        <f t="shared" si="347"/>
        <v>73.83052059415728</v>
      </c>
      <c r="J957" s="74">
        <f t="shared" si="348"/>
        <v>49.7964007486329</v>
      </c>
      <c r="K957" s="74">
        <f t="shared" si="349"/>
        <v>52.70912244609802</v>
      </c>
      <c r="L957" s="74">
        <f t="shared" si="339"/>
        <v>1.7050133248239385</v>
      </c>
      <c r="M957" s="74">
        <f t="shared" si="350"/>
        <v>3.21847173736185</v>
      </c>
      <c r="N957" s="74">
        <f t="shared" si="340"/>
        <v>0.9876093646658881</v>
      </c>
      <c r="O957" s="74">
        <f t="shared" si="341"/>
        <v>76.8788438792791</v>
      </c>
      <c r="P957" s="74">
        <f t="shared" si="342"/>
        <v>0.31354304796569205</v>
      </c>
    </row>
    <row r="958" spans="2:16" ht="13.5">
      <c r="B958" s="74">
        <f t="shared" si="344"/>
        <v>43.17188522203861</v>
      </c>
      <c r="C958" s="70">
        <f t="shared" si="351"/>
        <v>56.92899999999999</v>
      </c>
      <c r="D958" s="70">
        <f t="shared" si="343"/>
        <v>65</v>
      </c>
      <c r="E958" s="74">
        <f t="shared" si="335"/>
        <v>0.9935984898678516</v>
      </c>
      <c r="F958" s="74">
        <f t="shared" si="336"/>
        <v>1.1344640137963142</v>
      </c>
      <c r="G958" s="74">
        <f t="shared" si="337"/>
        <v>98.57097955153156</v>
      </c>
      <c r="H958" s="74">
        <f t="shared" si="338"/>
        <v>48.07465394252364</v>
      </c>
      <c r="I958" s="74">
        <f t="shared" si="347"/>
        <v>70.58732175321292</v>
      </c>
      <c r="J958" s="74">
        <f t="shared" si="348"/>
        <v>48.07465394252364</v>
      </c>
      <c r="K958" s="74">
        <f t="shared" si="349"/>
        <v>51.43701720295304</v>
      </c>
      <c r="L958" s="74">
        <f t="shared" si="339"/>
        <v>1.7224666173438816</v>
      </c>
      <c r="M958" s="74">
        <f t="shared" si="350"/>
        <v>3.2265668130425462</v>
      </c>
      <c r="N958" s="74">
        <f t="shared" si="340"/>
        <v>0.9363479397359457</v>
      </c>
      <c r="O958" s="74">
        <f t="shared" si="341"/>
        <v>75.26788495128504</v>
      </c>
      <c r="P958" s="74">
        <f t="shared" si="342"/>
        <v>0.30478240575776605</v>
      </c>
    </row>
    <row r="959" spans="2:16" ht="13.5">
      <c r="B959" s="74">
        <f t="shared" si="344"/>
        <v>43.32252149135825</v>
      </c>
      <c r="C959" s="70">
        <f t="shared" si="351"/>
        <v>56.92899999999999</v>
      </c>
      <c r="D959" s="70">
        <f t="shared" si="343"/>
        <v>66</v>
      </c>
      <c r="E959" s="74">
        <f t="shared" si="335"/>
        <v>0.9935984898678516</v>
      </c>
      <c r="F959" s="74">
        <f t="shared" si="336"/>
        <v>1.1519173063162575</v>
      </c>
      <c r="G959" s="74">
        <f t="shared" si="337"/>
        <v>98.57097955153156</v>
      </c>
      <c r="H959" s="74">
        <f t="shared" si="338"/>
        <v>46.34369565210348</v>
      </c>
      <c r="I959" s="74">
        <f t="shared" si="347"/>
        <v>67.39649223857965</v>
      </c>
      <c r="J959" s="74">
        <f t="shared" si="348"/>
        <v>46.34369565210348</v>
      </c>
      <c r="K959" s="74">
        <f t="shared" si="349"/>
        <v>50.18545319019432</v>
      </c>
      <c r="L959" s="74">
        <f t="shared" si="339"/>
        <v>1.7399199098638252</v>
      </c>
      <c r="M959" s="74">
        <f t="shared" si="350"/>
        <v>3.235690820800044</v>
      </c>
      <c r="N959" s="74">
        <f t="shared" si="340"/>
        <v>0.8848122620472225</v>
      </c>
      <c r="O959" s="74">
        <f t="shared" si="341"/>
        <v>73.70467585294503</v>
      </c>
      <c r="P959" s="74">
        <f t="shared" si="342"/>
        <v>0.29754202750353914</v>
      </c>
    </row>
    <row r="960" spans="2:16" ht="13.5">
      <c r="B960" s="74">
        <f t="shared" si="344"/>
        <v>43.44270905470634</v>
      </c>
      <c r="C960" s="70">
        <f t="shared" si="351"/>
        <v>56.92899999999999</v>
      </c>
      <c r="D960" s="70">
        <f t="shared" si="343"/>
        <v>67</v>
      </c>
      <c r="E960" s="74">
        <f t="shared" si="335"/>
        <v>0.9935984898678516</v>
      </c>
      <c r="F960" s="74">
        <f t="shared" si="336"/>
        <v>1.1693705988362006</v>
      </c>
      <c r="G960" s="74">
        <f t="shared" si="337"/>
        <v>98.57097955153156</v>
      </c>
      <c r="H960" s="74">
        <f t="shared" si="338"/>
        <v>44.602388153158174</v>
      </c>
      <c r="I960" s="74">
        <f t="shared" si="347"/>
        <v>64.25487530372895</v>
      </c>
      <c r="J960" s="74">
        <f t="shared" si="348"/>
        <v>44.602388153158174</v>
      </c>
      <c r="K960" s="74">
        <f t="shared" si="349"/>
        <v>48.95319221244529</v>
      </c>
      <c r="L960" s="74">
        <f t="shared" si="339"/>
        <v>1.7573732023837683</v>
      </c>
      <c r="M960" s="74">
        <f t="shared" si="350"/>
        <v>3.2458580998131934</v>
      </c>
      <c r="N960" s="74">
        <f t="shared" si="340"/>
        <v>0.8329684582310031</v>
      </c>
      <c r="O960" s="74">
        <f t="shared" si="341"/>
        <v>72.18614920440524</v>
      </c>
      <c r="P960" s="74">
        <f t="shared" si="342"/>
        <v>0.2917782079920705</v>
      </c>
    </row>
    <row r="961" spans="2:16" ht="13.5">
      <c r="B961" s="74">
        <f t="shared" si="344"/>
        <v>43.53304682066507</v>
      </c>
      <c r="C961" s="70">
        <f t="shared" si="351"/>
        <v>56.92899999999999</v>
      </c>
      <c r="D961" s="70">
        <f t="shared" si="343"/>
        <v>68</v>
      </c>
      <c r="E961" s="74">
        <f t="shared" si="335"/>
        <v>0.9935984898678516</v>
      </c>
      <c r="F961" s="74">
        <f t="shared" si="336"/>
        <v>1.1868238913561442</v>
      </c>
      <c r="G961" s="74">
        <f t="shared" si="337"/>
        <v>98.57097955153156</v>
      </c>
      <c r="H961" s="74">
        <f t="shared" si="338"/>
        <v>42.84956737955771</v>
      </c>
      <c r="I961" s="74">
        <f t="shared" si="347"/>
        <v>61.15946993579685</v>
      </c>
      <c r="J961" s="74">
        <f t="shared" si="348"/>
        <v>42.84956737955771</v>
      </c>
      <c r="K961" s="74">
        <f t="shared" si="349"/>
        <v>47.739057158962424</v>
      </c>
      <c r="L961" s="74">
        <f t="shared" si="339"/>
        <v>1.7748264949037118</v>
      </c>
      <c r="M961" s="74">
        <f t="shared" si="350"/>
        <v>3.2570847429771757</v>
      </c>
      <c r="N961" s="74">
        <f t="shared" si="340"/>
        <v>0.7807818706428962</v>
      </c>
      <c r="O961" s="74">
        <f t="shared" si="341"/>
        <v>70.7093891129666</v>
      </c>
      <c r="P961" s="74">
        <f t="shared" si="342"/>
        <v>0.2874537351702244</v>
      </c>
    </row>
    <row r="962" spans="2:16" ht="13.5">
      <c r="B962" s="74">
        <f t="shared" si="344"/>
        <v>43.59404056577146</v>
      </c>
      <c r="C962" s="70">
        <f t="shared" si="351"/>
        <v>56.92899999999999</v>
      </c>
      <c r="D962" s="70">
        <f t="shared" si="343"/>
        <v>69</v>
      </c>
      <c r="E962" s="74">
        <f t="shared" si="335"/>
        <v>0.9935984898678516</v>
      </c>
      <c r="F962" s="74">
        <f t="shared" si="336"/>
        <v>1.2042771838760873</v>
      </c>
      <c r="G962" s="74">
        <f t="shared" si="337"/>
        <v>98.57097955153156</v>
      </c>
      <c r="H962" s="74">
        <f t="shared" si="338"/>
        <v>41.08403968726031</v>
      </c>
      <c r="I962" s="74">
        <f t="shared" si="347"/>
        <v>58.107418303486085</v>
      </c>
      <c r="J962" s="74">
        <f t="shared" si="348"/>
        <v>41.08403968726031</v>
      </c>
      <c r="K962" s="74">
        <f t="shared" si="349"/>
        <v>46.54192708022782</v>
      </c>
      <c r="L962" s="74">
        <f t="shared" si="339"/>
        <v>1.792279787423655</v>
      </c>
      <c r="M962" s="74">
        <f t="shared" si="350"/>
        <v>3.2693886601519666</v>
      </c>
      <c r="N962" s="74">
        <f t="shared" si="340"/>
        <v>0.7282169610177962</v>
      </c>
      <c r="O962" s="74">
        <f t="shared" si="341"/>
        <v>69.2716161525412</v>
      </c>
      <c r="P962" s="74">
        <f t="shared" si="342"/>
        <v>0.28453785141069327</v>
      </c>
    </row>
    <row r="963" spans="2:16" ht="13.5">
      <c r="B963" s="74">
        <f t="shared" si="344"/>
        <v>43.626106547685765</v>
      </c>
      <c r="C963" s="70">
        <f t="shared" si="351"/>
        <v>56.92899999999999</v>
      </c>
      <c r="D963" s="70">
        <f t="shared" si="343"/>
        <v>70</v>
      </c>
      <c r="E963" s="74">
        <f t="shared" si="335"/>
        <v>0.9935984898678516</v>
      </c>
      <c r="F963" s="74">
        <f t="shared" si="336"/>
        <v>1.2217304763960306</v>
      </c>
      <c r="G963" s="74">
        <f t="shared" si="337"/>
        <v>98.57097955153156</v>
      </c>
      <c r="H963" s="74">
        <f t="shared" si="338"/>
        <v>39.30457845389725</v>
      </c>
      <c r="I963" s="74">
        <f t="shared" si="347"/>
        <v>55.09599421204639</v>
      </c>
      <c r="J963" s="74">
        <f t="shared" si="348"/>
        <v>39.30457845389725</v>
      </c>
      <c r="K963" s="74">
        <f t="shared" si="349"/>
        <v>45.360732659555765</v>
      </c>
      <c r="L963" s="74">
        <f t="shared" si="339"/>
        <v>1.809733079943598</v>
      </c>
      <c r="M963" s="74">
        <f t="shared" si="350"/>
        <v>3.2827896493451227</v>
      </c>
      <c r="N963" s="74">
        <f t="shared" si="340"/>
        <v>0.6752372092296027</v>
      </c>
      <c r="O963" s="74">
        <f t="shared" si="341"/>
        <v>67.8701734293858</v>
      </c>
      <c r="P963" s="74">
        <f t="shared" si="342"/>
        <v>0.2830061715803608</v>
      </c>
    </row>
    <row r="964" spans="2:16" ht="13.5">
      <c r="B964" s="74">
        <f t="shared" si="344"/>
        <v>43.629574494086064</v>
      </c>
      <c r="C964" s="70">
        <f t="shared" si="351"/>
        <v>56.92899999999999</v>
      </c>
      <c r="D964" s="70">
        <f t="shared" si="343"/>
        <v>71</v>
      </c>
      <c r="E964" s="74">
        <f t="shared" si="335"/>
        <v>0.9935984898678516</v>
      </c>
      <c r="F964" s="74">
        <f t="shared" si="336"/>
        <v>1.239183768915974</v>
      </c>
      <c r="G964" s="74">
        <f t="shared" si="337"/>
        <v>98.57097955153156</v>
      </c>
      <c r="H964" s="74">
        <f t="shared" si="338"/>
        <v>37.50992049257642</v>
      </c>
      <c r="I964" s="74">
        <f t="shared" si="347"/>
        <v>52.12259246172309</v>
      </c>
      <c r="J964" s="74">
        <f t="shared" si="348"/>
        <v>37.50992049257642</v>
      </c>
      <c r="K964" s="74">
        <f t="shared" si="349"/>
        <v>44.19445203907388</v>
      </c>
      <c r="L964" s="74">
        <f t="shared" si="339"/>
        <v>1.8271863724635415</v>
      </c>
      <c r="M964" s="74">
        <f t="shared" si="350"/>
        <v>3.297309476365921</v>
      </c>
      <c r="N964" s="74">
        <f t="shared" si="340"/>
        <v>0.6218050065196917</v>
      </c>
      <c r="O964" s="74">
        <f t="shared" si="341"/>
        <v>66.50251359427195</v>
      </c>
      <c r="P964" s="74">
        <f t="shared" si="342"/>
        <v>0.28284057295991427</v>
      </c>
    </row>
    <row r="965" spans="2:16" ht="13.5">
      <c r="B965" s="74">
        <f t="shared" si="344"/>
        <v>43.60469000366916</v>
      </c>
      <c r="C965" s="70">
        <f t="shared" si="351"/>
        <v>56.92899999999999</v>
      </c>
      <c r="D965" s="70">
        <f t="shared" si="343"/>
        <v>72</v>
      </c>
      <c r="E965" s="74">
        <f t="shared" si="335"/>
        <v>0.9935984898678516</v>
      </c>
      <c r="F965" s="74">
        <f t="shared" si="336"/>
        <v>1.2566370614359172</v>
      </c>
      <c r="G965" s="74">
        <f t="shared" si="337"/>
        <v>98.57097955153156</v>
      </c>
      <c r="H965" s="74">
        <f t="shared" si="338"/>
        <v>35.698762256707205</v>
      </c>
      <c r="I965" s="74">
        <f t="shared" si="347"/>
        <v>49.18471901725621</v>
      </c>
      <c r="J965" s="74">
        <f t="shared" si="348"/>
        <v>35.698762256707205</v>
      </c>
      <c r="K965" s="74">
        <f t="shared" si="349"/>
        <v>43.042106963828815</v>
      </c>
      <c r="L965" s="74">
        <f t="shared" si="339"/>
        <v>1.8446396649834846</v>
      </c>
      <c r="M965" s="74">
        <f t="shared" si="350"/>
        <v>3.3129719635610875</v>
      </c>
      <c r="N965" s="74">
        <f t="shared" si="340"/>
        <v>0.5678815425034818</v>
      </c>
      <c r="O965" s="74">
        <f t="shared" si="341"/>
        <v>65.16618667459927</v>
      </c>
      <c r="P965" s="74">
        <f t="shared" si="342"/>
        <v>0.28402906699446456</v>
      </c>
    </row>
    <row r="966" spans="2:16" ht="13.5">
      <c r="B966" s="74">
        <f t="shared" si="344"/>
        <v>43.55161638836096</v>
      </c>
      <c r="C966" s="70">
        <f t="shared" si="351"/>
        <v>56.92899999999999</v>
      </c>
      <c r="D966" s="70">
        <f t="shared" si="343"/>
        <v>73</v>
      </c>
      <c r="E966" s="74">
        <f t="shared" si="335"/>
        <v>0.9935984898678516</v>
      </c>
      <c r="F966" s="74">
        <f t="shared" si="336"/>
        <v>1.2740903539558606</v>
      </c>
      <c r="G966" s="74">
        <f t="shared" si="337"/>
        <v>98.57097955153156</v>
      </c>
      <c r="H966" s="74">
        <f t="shared" si="338"/>
        <v>33.86975581055276</v>
      </c>
      <c r="I966" s="74">
        <f t="shared" si="347"/>
        <v>46.27998190580472</v>
      </c>
      <c r="J966" s="74">
        <f t="shared" si="348"/>
        <v>33.86975581055276</v>
      </c>
      <c r="K966" s="74">
        <f t="shared" si="349"/>
        <v>41.90275921160796</v>
      </c>
      <c r="L966" s="74">
        <f t="shared" si="339"/>
        <v>1.8620929575034282</v>
      </c>
      <c r="M966" s="74">
        <f t="shared" si="350"/>
        <v>3.3298030883232532</v>
      </c>
      <c r="N966" s="74">
        <f t="shared" si="340"/>
        <v>0.5134266852020202</v>
      </c>
      <c r="O966" s="74">
        <f t="shared" si="341"/>
        <v>63.85882861121526</v>
      </c>
      <c r="P966" s="74">
        <f t="shared" si="342"/>
        <v>0.2865656585311214</v>
      </c>
    </row>
    <row r="967" spans="2:16" ht="13.5">
      <c r="B967" s="74">
        <f t="shared" si="344"/>
        <v>43.470435979112594</v>
      </c>
      <c r="C967" s="70">
        <f t="shared" si="351"/>
        <v>56.92899999999999</v>
      </c>
      <c r="D967" s="70">
        <f t="shared" si="343"/>
        <v>74</v>
      </c>
      <c r="E967" s="74">
        <f t="shared" si="335"/>
        <v>0.9935984898678516</v>
      </c>
      <c r="F967" s="74">
        <f t="shared" si="336"/>
        <v>1.2915436464758039</v>
      </c>
      <c r="G967" s="74">
        <f t="shared" si="337"/>
        <v>98.57097955153156</v>
      </c>
      <c r="H967" s="74">
        <f t="shared" si="338"/>
        <v>32.02150453781869</v>
      </c>
      <c r="I967" s="74">
        <f t="shared" si="347"/>
        <v>43.40608276923955</v>
      </c>
      <c r="J967" s="74">
        <f t="shared" si="348"/>
        <v>32.02150453781869</v>
      </c>
      <c r="K967" s="74">
        <f t="shared" si="349"/>
        <v>40.77550727942922</v>
      </c>
      <c r="L967" s="74">
        <f t="shared" si="339"/>
        <v>1.8795462500233713</v>
      </c>
      <c r="M967" s="74">
        <f t="shared" si="350"/>
        <v>3.347831092152982</v>
      </c>
      <c r="N967" s="74">
        <f t="shared" si="340"/>
        <v>0.4583988532741495</v>
      </c>
      <c r="O967" s="74">
        <f t="shared" si="341"/>
        <v>62.57815039411299</v>
      </c>
      <c r="P967" s="74">
        <f t="shared" si="342"/>
        <v>0.29045019442305514</v>
      </c>
    </row>
    <row r="968" spans="2:16" ht="13.5">
      <c r="B968" s="74">
        <f t="shared" si="344"/>
        <v>43.361150911351274</v>
      </c>
      <c r="C968" s="70">
        <f t="shared" si="351"/>
        <v>56.92899999999999</v>
      </c>
      <c r="D968" s="70">
        <f t="shared" si="343"/>
        <v>75</v>
      </c>
      <c r="E968" s="74">
        <f t="shared" si="335"/>
        <v>0.9935984898678516</v>
      </c>
      <c r="F968" s="74">
        <f t="shared" si="336"/>
        <v>1.3089969389957472</v>
      </c>
      <c r="G968" s="74">
        <f t="shared" si="337"/>
        <v>98.57097955153156</v>
      </c>
      <c r="H968" s="74">
        <f t="shared" si="338"/>
        <v>30.152558557855457</v>
      </c>
      <c r="I968" s="74">
        <f t="shared" si="347"/>
        <v>40.560809004261195</v>
      </c>
      <c r="J968" s="74">
        <f t="shared" si="348"/>
        <v>30.152558557855457</v>
      </c>
      <c r="K968" s="74">
        <f t="shared" si="349"/>
        <v>39.65948330059791</v>
      </c>
      <c r="L968" s="74">
        <f t="shared" si="339"/>
        <v>1.8969995425433148</v>
      </c>
      <c r="M968" s="74">
        <f t="shared" si="350"/>
        <v>3.3670866011551928</v>
      </c>
      <c r="N968" s="74">
        <f t="shared" si="340"/>
        <v>0.4027548795434824</v>
      </c>
      <c r="O968" s="74">
        <f t="shared" si="341"/>
        <v>61.321927698939454</v>
      </c>
      <c r="P968" s="74">
        <f t="shared" si="342"/>
        <v>0.29568819996538626</v>
      </c>
    </row>
    <row r="969" spans="2:16" ht="13.5">
      <c r="B969" s="74">
        <f t="shared" si="344"/>
        <v>43.22368340014981</v>
      </c>
      <c r="C969" s="70">
        <f t="shared" si="351"/>
        <v>56.92899999999999</v>
      </c>
      <c r="D969" s="70">
        <f t="shared" si="343"/>
        <v>76</v>
      </c>
      <c r="E969" s="74">
        <f t="shared" si="335"/>
        <v>0.9935984898678516</v>
      </c>
      <c r="F969" s="74">
        <f t="shared" si="336"/>
        <v>1.3264502315156903</v>
      </c>
      <c r="G969" s="74">
        <f t="shared" si="337"/>
        <v>98.57097955153156</v>
      </c>
      <c r="H969" s="74">
        <f t="shared" si="338"/>
        <v>28.2614098159386</v>
      </c>
      <c r="I969" s="74">
        <f t="shared" si="347"/>
        <v>37.7420264303865</v>
      </c>
      <c r="J969" s="74">
        <f t="shared" si="348"/>
        <v>28.2614098159386</v>
      </c>
      <c r="K969" s="74">
        <f t="shared" si="349"/>
        <v>38.55385016881386</v>
      </c>
      <c r="L969" s="74">
        <f t="shared" si="339"/>
        <v>1.914452835063258</v>
      </c>
      <c r="M969" s="74">
        <f t="shared" si="350"/>
        <v>3.3876027589624966</v>
      </c>
      <c r="N969" s="74">
        <f t="shared" si="340"/>
        <v>0.34644986482172163</v>
      </c>
      <c r="O969" s="74">
        <f t="shared" si="341"/>
        <v>60.08799093252027</v>
      </c>
      <c r="P969" s="74">
        <f t="shared" si="342"/>
        <v>0.3022906984107946</v>
      </c>
    </row>
    <row r="970" spans="2:16" ht="13.5">
      <c r="B970" s="74">
        <f t="shared" si="344"/>
        <v>43.057875509363875</v>
      </c>
      <c r="C970" s="70">
        <f t="shared" si="351"/>
        <v>56.92899999999999</v>
      </c>
      <c r="D970" s="70">
        <f t="shared" si="343"/>
        <v>77</v>
      </c>
      <c r="E970" s="74">
        <f t="shared" si="335"/>
        <v>0.9935984898678516</v>
      </c>
      <c r="F970" s="74">
        <f t="shared" si="336"/>
        <v>1.3439035240356338</v>
      </c>
      <c r="G970" s="74">
        <f t="shared" si="337"/>
        <v>98.57097955153156</v>
      </c>
      <c r="H970" s="74">
        <f t="shared" si="338"/>
        <v>26.34648681054474</v>
      </c>
      <c r="I970" s="74">
        <f aca="true" t="shared" si="352" ref="I970:I983">(0.5*$D$3*$D$9+$D$6)*$D$9/TAN(F970)</f>
        <v>34.9476724316321</v>
      </c>
      <c r="J970" s="74">
        <f t="shared" si="348"/>
        <v>26.34648681054474</v>
      </c>
      <c r="K970" s="74">
        <f aca="true" t="shared" si="353" ref="K970:K983">0.5*$D$3*$D$8^2*(1/TAN(F970)-1/TAN($D$16))+$G$19</f>
        <v>37.4577988480803</v>
      </c>
      <c r="L970" s="74">
        <f t="shared" si="339"/>
        <v>1.9319061275832015</v>
      </c>
      <c r="M970" s="74">
        <f t="shared" si="350"/>
        <v>3.409415373203253</v>
      </c>
      <c r="N970" s="74">
        <f t="shared" si="340"/>
        <v>0.2894370209242849</v>
      </c>
      <c r="O970" s="74">
        <f t="shared" si="341"/>
        <v>58.874215600517886</v>
      </c>
      <c r="P970" s="74">
        <f t="shared" si="342"/>
        <v>0.31027400564942237</v>
      </c>
    </row>
    <row r="971" spans="2:16" ht="13.5">
      <c r="B971" s="74">
        <f t="shared" si="344"/>
        <v>42.8634884132591</v>
      </c>
      <c r="C971" s="70">
        <f t="shared" si="351"/>
        <v>56.92899999999999</v>
      </c>
      <c r="D971" s="70">
        <f t="shared" si="343"/>
        <v>78</v>
      </c>
      <c r="E971" s="74">
        <f t="shared" si="335"/>
        <v>0.9935984898678516</v>
      </c>
      <c r="F971" s="74">
        <f t="shared" si="336"/>
        <v>1.361356816555577</v>
      </c>
      <c r="G971" s="74">
        <f t="shared" si="337"/>
        <v>98.57097955153156</v>
      </c>
      <c r="H971" s="74">
        <f t="shared" si="338"/>
        <v>24.40614891650218</v>
      </c>
      <c r="I971" s="74">
        <f t="shared" si="352"/>
        <v>32.17574952279962</v>
      </c>
      <c r="J971" s="74">
        <f t="shared" si="348"/>
        <v>24.40614891650218</v>
      </c>
      <c r="K971" s="74">
        <f t="shared" si="353"/>
        <v>36.370545849157565</v>
      </c>
      <c r="L971" s="74">
        <f t="shared" si="339"/>
        <v>1.9493594201031446</v>
      </c>
      <c r="M971" s="74">
        <f t="shared" si="350"/>
        <v>3.4325630767730444</v>
      </c>
      <c r="N971" s="74">
        <f t="shared" si="340"/>
        <v>0.23166750165393885</v>
      </c>
      <c r="O971" s="74">
        <f t="shared" si="341"/>
        <v>57.678512913985124</v>
      </c>
      <c r="P971" s="74">
        <f t="shared" si="342"/>
        <v>0.31965948891216694</v>
      </c>
    </row>
    <row r="972" spans="2:16" ht="13.5">
      <c r="B972" s="74">
        <f t="shared" si="344"/>
        <v>42.640201143406024</v>
      </c>
      <c r="C972" s="70">
        <f t="shared" si="351"/>
        <v>56.92899999999999</v>
      </c>
      <c r="D972" s="70">
        <f t="shared" si="343"/>
        <v>79</v>
      </c>
      <c r="E972" s="74">
        <f t="shared" si="335"/>
        <v>0.9935984898678516</v>
      </c>
      <c r="F972" s="74">
        <f t="shared" si="336"/>
        <v>1.3788101090755203</v>
      </c>
      <c r="G972" s="74">
        <f t="shared" si="337"/>
        <v>98.57097955153156</v>
      </c>
      <c r="H972" s="74">
        <f t="shared" si="338"/>
        <v>22.438680258289008</v>
      </c>
      <c r="I972" s="74">
        <f t="shared" si="352"/>
        <v>29.424319295722153</v>
      </c>
      <c r="J972" s="74">
        <f t="shared" si="348"/>
        <v>22.438680258289008</v>
      </c>
      <c r="K972" s="74">
        <f t="shared" si="353"/>
        <v>35.29133085505204</v>
      </c>
      <c r="L972" s="74">
        <f t="shared" si="339"/>
        <v>1.9668127126230877</v>
      </c>
      <c r="M972" s="74">
        <f t="shared" si="350"/>
        <v>3.4570875053272205</v>
      </c>
      <c r="N972" s="74">
        <f t="shared" si="340"/>
        <v>0.17309022039101127</v>
      </c>
      <c r="O972" s="74">
        <f t="shared" si="341"/>
        <v>56.49882055401982</v>
      </c>
      <c r="P972" s="74">
        <f t="shared" si="342"/>
        <v>0.3304732749849379</v>
      </c>
    </row>
    <row r="973" spans="2:16" ht="13.5">
      <c r="B973" s="74">
        <f t="shared" si="344"/>
        <v>42.38760880775864</v>
      </c>
      <c r="C973" s="70">
        <f t="shared" si="351"/>
        <v>56.92899999999999</v>
      </c>
      <c r="D973" s="70">
        <f t="shared" si="343"/>
        <v>80</v>
      </c>
      <c r="E973" s="74">
        <f t="shared" si="335"/>
        <v>0.9935984898678516</v>
      </c>
      <c r="F973" s="74">
        <f t="shared" si="336"/>
        <v>1.3962634015954636</v>
      </c>
      <c r="G973" s="74">
        <f t="shared" si="337"/>
        <v>98.57097955153156</v>
      </c>
      <c r="H973" s="74">
        <f t="shared" si="338"/>
        <v>20.442283082501756</v>
      </c>
      <c r="I973" s="74">
        <f t="shared" si="352"/>
        <v>26.691496704743898</v>
      </c>
      <c r="J973" s="74">
        <f t="shared" si="348"/>
        <v>20.442283082501756</v>
      </c>
      <c r="K973" s="74">
        <f t="shared" si="353"/>
        <v>34.21941447956511</v>
      </c>
      <c r="L973" s="74">
        <f t="shared" si="339"/>
        <v>1.9842660051430312</v>
      </c>
      <c r="M973" s="74">
        <f t="shared" si="350"/>
        <v>3.483033492591896</v>
      </c>
      <c r="N973" s="74">
        <f t="shared" si="340"/>
        <v>0.1136516527724497</v>
      </c>
      <c r="O973" s="74">
        <f t="shared" si="341"/>
        <v>55.333093515013225</v>
      </c>
      <c r="P973" s="74">
        <f t="shared" si="342"/>
        <v>0.3427458898618199</v>
      </c>
    </row>
    <row r="974" spans="2:16" ht="13.5">
      <c r="B974" s="74">
        <f t="shared" si="344"/>
        <v>42.10522026274564</v>
      </c>
      <c r="C974" s="70">
        <f t="shared" si="351"/>
        <v>56.92899999999999</v>
      </c>
      <c r="D974" s="70">
        <f t="shared" si="343"/>
        <v>81</v>
      </c>
      <c r="E974" s="74">
        <f t="shared" si="335"/>
        <v>0.9935984898678516</v>
      </c>
      <c r="F974" s="74">
        <f t="shared" si="336"/>
        <v>1.413716694115407</v>
      </c>
      <c r="G974" s="74">
        <f t="shared" si="337"/>
        <v>98.57097955153156</v>
      </c>
      <c r="H974" s="74">
        <f t="shared" si="338"/>
        <v>18.415070572518374</v>
      </c>
      <c r="I974" s="74">
        <f t="shared" si="352"/>
        <v>23.97544465412669</v>
      </c>
      <c r="J974" s="74">
        <f t="shared" si="348"/>
        <v>18.415070572518374</v>
      </c>
      <c r="K974" s="74">
        <f t="shared" si="353"/>
        <v>33.15407614426935</v>
      </c>
      <c r="L974" s="74">
        <f t="shared" si="339"/>
        <v>2.0017192976629743</v>
      </c>
      <c r="M974" s="74">
        <f t="shared" si="350"/>
        <v>3.510449285294637</v>
      </c>
      <c r="N974" s="74">
        <f t="shared" si="340"/>
        <v>0.053295622763378</v>
      </c>
      <c r="O974" s="74">
        <f t="shared" si="341"/>
        <v>54.17929494712677</v>
      </c>
      <c r="P974" s="74">
        <f t="shared" si="342"/>
        <v>0.35651180803239463</v>
      </c>
    </row>
    <row r="975" spans="2:16" ht="13.5">
      <c r="B975" s="74">
        <f t="shared" si="344"/>
        <v>43.581345158817214</v>
      </c>
      <c r="C975" s="70">
        <f t="shared" si="351"/>
        <v>56.92899999999999</v>
      </c>
      <c r="D975" s="70">
        <f t="shared" si="343"/>
        <v>82</v>
      </c>
      <c r="E975" s="74">
        <f t="shared" si="335"/>
        <v>0.9935984898678516</v>
      </c>
      <c r="F975" s="74">
        <f t="shared" si="336"/>
        <v>1.43116998663535</v>
      </c>
      <c r="G975" s="74">
        <f t="shared" si="337"/>
        <v>98.57097955153156</v>
      </c>
      <c r="H975" s="74">
        <f t="shared" si="338"/>
        <v>21.274368853074545</v>
      </c>
      <c r="I975" s="74">
        <f t="shared" si="352"/>
        <v>21.274368853074545</v>
      </c>
      <c r="J975" s="74">
        <f t="shared" si="348"/>
        <v>16.355059041525283</v>
      </c>
      <c r="K975" s="74">
        <f t="shared" si="353"/>
        <v>32.09461206045451</v>
      </c>
      <c r="L975" s="74">
        <f t="shared" si="339"/>
        <v>2.0191725901829174</v>
      </c>
      <c r="M975" s="74">
        <f t="shared" si="350"/>
        <v>3.539386779747792</v>
      </c>
      <c r="N975" s="74">
        <f t="shared" si="340"/>
        <v>-0.008036929779261789</v>
      </c>
      <c r="O975" s="74">
        <f t="shared" si="341"/>
        <v>55.305520843904205</v>
      </c>
      <c r="P975" s="74">
        <f t="shared" si="342"/>
        <v>0.2851445103668256</v>
      </c>
    </row>
    <row r="976" spans="2:16" ht="13.5">
      <c r="B976" s="74">
        <f t="shared" si="344"/>
        <v>43.03793132377089</v>
      </c>
      <c r="C976" s="70">
        <f t="shared" si="351"/>
        <v>56.92899999999999</v>
      </c>
      <c r="D976" s="70">
        <f t="shared" si="343"/>
        <v>83</v>
      </c>
      <c r="E976" s="74">
        <f t="shared" si="335"/>
        <v>0.9935984898678516</v>
      </c>
      <c r="F976" s="74">
        <f t="shared" si="336"/>
        <v>1.4486232791552935</v>
      </c>
      <c r="G976" s="74">
        <f t="shared" si="337"/>
        <v>98.57097955153156</v>
      </c>
      <c r="H976" s="74">
        <f t="shared" si="338"/>
        <v>18.586512906677186</v>
      </c>
      <c r="I976" s="74">
        <f t="shared" si="352"/>
        <v>18.586512906677186</v>
      </c>
      <c r="J976" s="74">
        <f t="shared" si="348"/>
        <v>14.26015943222883</v>
      </c>
      <c r="K976" s="74">
        <f t="shared" si="353"/>
        <v>31.040333303609955</v>
      </c>
      <c r="L976" s="74">
        <f t="shared" si="339"/>
        <v>2.036625882702861</v>
      </c>
      <c r="M976" s="74">
        <f t="shared" si="350"/>
        <v>3.569901782381449</v>
      </c>
      <c r="N976" s="74">
        <f t="shared" si="340"/>
        <v>-0.0704082021850964</v>
      </c>
      <c r="O976" s="74">
        <f t="shared" si="341"/>
        <v>53.88932846377231</v>
      </c>
      <c r="P976" s="74">
        <f t="shared" si="342"/>
        <v>0.31123568267556123</v>
      </c>
    </row>
    <row r="977" spans="2:16" ht="13.5">
      <c r="B977" s="74">
        <f t="shared" si="344"/>
        <v>42.4762474097167</v>
      </c>
      <c r="C977" s="70">
        <f t="shared" si="351"/>
        <v>56.92899999999999</v>
      </c>
      <c r="D977" s="70">
        <f t="shared" si="343"/>
        <v>84</v>
      </c>
      <c r="E977" s="74">
        <f t="shared" si="335"/>
        <v>0.9935984898678516</v>
      </c>
      <c r="F977" s="74">
        <f t="shared" si="336"/>
        <v>1.4660765716752369</v>
      </c>
      <c r="G977" s="74">
        <f t="shared" si="337"/>
        <v>98.57097955153156</v>
      </c>
      <c r="H977" s="74">
        <f t="shared" si="338"/>
        <v>15.910153613341771</v>
      </c>
      <c r="I977" s="74">
        <f t="shared" si="352"/>
        <v>15.910153613341771</v>
      </c>
      <c r="J977" s="74">
        <f t="shared" si="348"/>
        <v>12.128168042573405</v>
      </c>
      <c r="K977" s="74">
        <f t="shared" si="353"/>
        <v>29.990563968899536</v>
      </c>
      <c r="L977" s="74">
        <f t="shared" si="339"/>
        <v>2.0540791752228045</v>
      </c>
      <c r="M977" s="74">
        <f t="shared" si="350"/>
        <v>3.602054296824678</v>
      </c>
      <c r="N977" s="74">
        <f t="shared" si="340"/>
        <v>-0.1338838050927462</v>
      </c>
      <c r="O977" s="74">
        <f t="shared" si="341"/>
        <v>52.5035292275092</v>
      </c>
      <c r="P977" s="74">
        <f t="shared" si="342"/>
        <v>0.3384346535080169</v>
      </c>
    </row>
    <row r="978" spans="2:16" ht="13.5">
      <c r="B978" s="74">
        <f t="shared" si="344"/>
        <v>41.896241596366906</v>
      </c>
      <c r="C978" s="70">
        <f t="shared" si="351"/>
        <v>56.92899999999999</v>
      </c>
      <c r="D978" s="70">
        <f t="shared" si="343"/>
        <v>85</v>
      </c>
      <c r="E978" s="74">
        <f t="shared" si="335"/>
        <v>0.9935984898678516</v>
      </c>
      <c r="F978" s="74">
        <f t="shared" si="336"/>
        <v>1.4835298641951802</v>
      </c>
      <c r="G978" s="74">
        <f t="shared" si="337"/>
        <v>98.57097955153156</v>
      </c>
      <c r="H978" s="74">
        <f t="shared" si="338"/>
        <v>13.24359644123674</v>
      </c>
      <c r="I978" s="74">
        <f t="shared" si="352"/>
        <v>13.24359644123674</v>
      </c>
      <c r="J978" s="74">
        <f t="shared" si="348"/>
        <v>9.956756386451493</v>
      </c>
      <c r="K978" s="74">
        <f t="shared" si="353"/>
        <v>28.944639396851734</v>
      </c>
      <c r="L978" s="74">
        <f t="shared" si="339"/>
        <v>2.0715324677427476</v>
      </c>
      <c r="M978" s="74">
        <f t="shared" si="350"/>
        <v>3.6359088404790922</v>
      </c>
      <c r="N978" s="74">
        <f t="shared" si="340"/>
        <v>-0.1985330643260647</v>
      </c>
      <c r="O978" s="74">
        <f t="shared" si="341"/>
        <v>51.14586710545542</v>
      </c>
      <c r="P978" s="74">
        <f t="shared" si="342"/>
        <v>0.3667273112924494</v>
      </c>
    </row>
    <row r="979" spans="2:16" ht="13.5">
      <c r="B979" s="74">
        <f t="shared" si="344"/>
        <v>41.297813483610895</v>
      </c>
      <c r="C979" s="70">
        <f t="shared" si="351"/>
        <v>56.92899999999999</v>
      </c>
      <c r="D979" s="70">
        <f t="shared" si="343"/>
        <v>86</v>
      </c>
      <c r="E979" s="74">
        <f t="shared" si="335"/>
        <v>0.9935984898678516</v>
      </c>
      <c r="F979" s="74">
        <f t="shared" si="336"/>
        <v>1.5009831567151233</v>
      </c>
      <c r="G979" s="74">
        <f t="shared" si="337"/>
        <v>98.57097955153156</v>
      </c>
      <c r="H979" s="74">
        <f t="shared" si="338"/>
        <v>10.585171157948913</v>
      </c>
      <c r="I979" s="74">
        <f t="shared" si="352"/>
        <v>10.585171157948913</v>
      </c>
      <c r="J979" s="74">
        <f t="shared" si="348"/>
        <v>7.743460086500027</v>
      </c>
      <c r="K979" s="74">
        <f t="shared" si="353"/>
        <v>27.90190445914594</v>
      </c>
      <c r="L979" s="74">
        <f t="shared" si="339"/>
        <v>2.0889857602626907</v>
      </c>
      <c r="M979" s="74">
        <f t="shared" si="350"/>
        <v>3.6715347939252476</v>
      </c>
      <c r="N979" s="74">
        <f t="shared" si="340"/>
        <v>-0.26442935158799213</v>
      </c>
      <c r="O979" s="74">
        <f t="shared" si="341"/>
        <v>49.81416385789806</v>
      </c>
      <c r="P979" s="74">
        <f t="shared" si="342"/>
        <v>0.3960930045007448</v>
      </c>
    </row>
    <row r="980" spans="2:16" ht="13.5">
      <c r="B980" s="74">
        <f t="shared" si="344"/>
        <v>40.68081482390414</v>
      </c>
      <c r="C980" s="70">
        <f t="shared" si="351"/>
        <v>56.92899999999999</v>
      </c>
      <c r="D980" s="70">
        <f t="shared" si="343"/>
        <v>87</v>
      </c>
      <c r="E980" s="74">
        <f t="shared" si="335"/>
        <v>0.9935984898678516</v>
      </c>
      <c r="F980" s="74">
        <f t="shared" si="336"/>
        <v>1.5184364492350666</v>
      </c>
      <c r="G980" s="74">
        <f t="shared" si="337"/>
        <v>98.57097955153156</v>
      </c>
      <c r="H980" s="74">
        <f t="shared" si="338"/>
        <v>7.933227588970383</v>
      </c>
      <c r="I980" s="74">
        <f t="shared" si="352"/>
        <v>7.933227588970383</v>
      </c>
      <c r="J980" s="74">
        <f t="shared" si="348"/>
        <v>5.4856666823648865</v>
      </c>
      <c r="K980" s="74">
        <f t="shared" si="353"/>
        <v>26.861711894930572</v>
      </c>
      <c r="L980" s="74">
        <f t="shared" si="339"/>
        <v>2.106439052782634</v>
      </c>
      <c r="M980" s="74">
        <f t="shared" si="350"/>
        <v>3.7090067869585464</v>
      </c>
      <c r="N980" s="74">
        <f t="shared" si="340"/>
        <v>-0.3316504474440855</v>
      </c>
      <c r="O980" s="74">
        <f t="shared" si="341"/>
        <v>48.50631031867977</v>
      </c>
      <c r="P980" s="74">
        <f t="shared" si="342"/>
        <v>0.4265036826831036</v>
      </c>
    </row>
    <row r="981" spans="2:16" ht="13.5">
      <c r="B981" s="74">
        <f t="shared" si="344"/>
        <v>40.0450499853599</v>
      </c>
      <c r="C981" s="70">
        <f t="shared" si="351"/>
        <v>56.92899999999999</v>
      </c>
      <c r="D981" s="70">
        <f t="shared" si="343"/>
        <v>88</v>
      </c>
      <c r="E981" s="74">
        <f t="shared" si="335"/>
        <v>0.9935984898678516</v>
      </c>
      <c r="F981" s="74">
        <f t="shared" si="336"/>
        <v>1.53588974175501</v>
      </c>
      <c r="G981" s="74">
        <f t="shared" si="337"/>
        <v>98.57097955153156</v>
      </c>
      <c r="H981" s="74">
        <f t="shared" si="338"/>
        <v>5.286131481813329</v>
      </c>
      <c r="I981" s="74">
        <f t="shared" si="352"/>
        <v>5.286131481813329</v>
      </c>
      <c r="J981" s="74">
        <f t="shared" si="348"/>
        <v>3.180602221976846</v>
      </c>
      <c r="K981" s="74">
        <f t="shared" si="353"/>
        <v>25.823420688572526</v>
      </c>
      <c r="L981" s="74">
        <f t="shared" si="339"/>
        <v>2.1238923453025773</v>
      </c>
      <c r="M981" s="74">
        <f t="shared" si="350"/>
        <v>3.7484051255774977</v>
      </c>
      <c r="N981" s="74">
        <f t="shared" si="340"/>
        <v>-0.4002789405393484</v>
      </c>
      <c r="O981" s="74">
        <f t="shared" si="341"/>
        <v>47.220258104292036</v>
      </c>
      <c r="P981" s="74">
        <f t="shared" si="342"/>
        <v>0.4579231210702433</v>
      </c>
    </row>
    <row r="982" spans="2:16" ht="13.5">
      <c r="B982" s="74">
        <f t="shared" si="344"/>
        <v>39.39027615404186</v>
      </c>
      <c r="C982" s="70">
        <f t="shared" si="351"/>
        <v>56.92899999999999</v>
      </c>
      <c r="D982" s="70">
        <f t="shared" si="343"/>
        <v>89</v>
      </c>
      <c r="E982" s="74">
        <f t="shared" si="335"/>
        <v>0.9935984898678516</v>
      </c>
      <c r="F982" s="74">
        <f t="shared" si="336"/>
        <v>1.5533430342749535</v>
      </c>
      <c r="G982" s="74">
        <f t="shared" si="337"/>
        <v>98.57097955153156</v>
      </c>
      <c r="H982" s="74">
        <f t="shared" si="338"/>
        <v>2.642260453508916</v>
      </c>
      <c r="I982" s="74">
        <f t="shared" si="352"/>
        <v>2.642260453508916</v>
      </c>
      <c r="J982" s="74">
        <f t="shared" si="348"/>
        <v>0.8253164850416557</v>
      </c>
      <c r="K982" s="74">
        <f t="shared" si="353"/>
        <v>24.78639448011291</v>
      </c>
      <c r="L982" s="74">
        <f t="shared" si="339"/>
        <v>2.141345637822521</v>
      </c>
      <c r="M982" s="74">
        <f t="shared" si="350"/>
        <v>3.7898162648555984</v>
      </c>
      <c r="N982" s="74">
        <f t="shared" si="340"/>
        <v>-0.47040266753803595</v>
      </c>
      <c r="O982" s="74">
        <f t="shared" si="341"/>
        <v>45.95401168683986</v>
      </c>
      <c r="P982" s="74">
        <f t="shared" si="342"/>
        <v>0.49030627028203055</v>
      </c>
    </row>
    <row r="983" spans="2:16" ht="13.5">
      <c r="B983" s="74">
        <f t="shared" si="344"/>
        <v>38.71620328145786</v>
      </c>
      <c r="C983" s="70">
        <f t="shared" si="351"/>
        <v>56.92899999999999</v>
      </c>
      <c r="D983" s="70">
        <f t="shared" si="343"/>
        <v>90</v>
      </c>
      <c r="E983" s="74">
        <f t="shared" si="335"/>
        <v>0.9935984898678516</v>
      </c>
      <c r="F983" s="74">
        <f t="shared" si="336"/>
        <v>1.5707963267948966</v>
      </c>
      <c r="G983" s="74">
        <f t="shared" si="337"/>
        <v>98.57097955153156</v>
      </c>
      <c r="H983" s="74">
        <f t="shared" si="338"/>
        <v>9.272842368089618E-15</v>
      </c>
      <c r="I983" s="74">
        <f t="shared" si="352"/>
        <v>9.272842368089618E-15</v>
      </c>
      <c r="J983" s="74">
        <f t="shared" si="348"/>
        <v>-1.5833333333333073</v>
      </c>
      <c r="K983" s="74">
        <f t="shared" si="353"/>
        <v>23.750000000000007</v>
      </c>
      <c r="L983" s="74">
        <f t="shared" si="339"/>
        <v>2.158798930342464</v>
      </c>
      <c r="M983" s="74">
        <f t="shared" si="350"/>
        <v>3.8333333333333317</v>
      </c>
      <c r="N983" s="74">
        <f t="shared" si="340"/>
        <v>-0.5421151989096857</v>
      </c>
      <c r="O983" s="74">
        <f t="shared" si="341"/>
        <v>44.70562077309993</v>
      </c>
      <c r="P983" s="74">
        <f t="shared" si="342"/>
        <v>0.5235987755982986</v>
      </c>
    </row>
    <row r="984" spans="1:16" ht="15">
      <c r="A984" s="70" t="s">
        <v>515</v>
      </c>
      <c r="B984" s="70">
        <f>MAX(B798:B983)</f>
        <v>43.63184177946293</v>
      </c>
      <c r="C984" s="73">
        <f>VLOOKUP(B984,B798:P983,2,FALSE)</f>
        <v>56.62179999999999</v>
      </c>
      <c r="D984" s="73">
        <f>VLOOKUP($B984,$B798:$P983,3,FALSE)</f>
        <v>71</v>
      </c>
      <c r="E984" s="73">
        <f>VLOOKUP($B984,$B798:$P983,4,FALSE)</f>
        <v>0.9882368384057252</v>
      </c>
      <c r="F984" s="73">
        <f>VLOOKUP($B984,$B798:$P983,5,FALSE)</f>
        <v>1.239183768915974</v>
      </c>
      <c r="G984" s="73">
        <f>VLOOKUP($B984,$B798:$P983,6,FALSE)</f>
        <v>99.73080589064196</v>
      </c>
      <c r="H984" s="73">
        <f>VLOOKUP($B984,$B798:$P983,7,FALSE)</f>
        <v>37.50992049257642</v>
      </c>
      <c r="I984" s="73">
        <f>VLOOKUP($B984,$B798:$P983,8,FALSE)</f>
        <v>52.12259246172309</v>
      </c>
      <c r="J984" s="73">
        <f>VLOOKUP($B984,$B798:$P983,9,FALSE)</f>
        <v>37.50992049257642</v>
      </c>
      <c r="K984" s="73">
        <f>VLOOKUP($B984,$B798:$P983,10,FALSE)</f>
        <v>44.19445203907388</v>
      </c>
      <c r="L984" s="73">
        <f>VLOOKUP($B984,$B798:$P983,11,FALSE)</f>
        <v>1.8271863724635415</v>
      </c>
      <c r="M984" s="73">
        <f>VLOOKUP($B984,$B798:$P983,12,FALSE)</f>
        <v>3.297309476365921</v>
      </c>
      <c r="N984" s="73">
        <f>VLOOKUP($B984,$B798:$P983,13,FALSE)</f>
        <v>0.6218050065196917</v>
      </c>
      <c r="O984" s="73">
        <f>VLOOKUP($B984,$B798:$P983,14,FALSE)</f>
        <v>66.50596951100609</v>
      </c>
      <c r="P984" s="73">
        <f>VLOOKUP($B984,$B798:$P983,15,FALSE)</f>
        <v>0.282881768121677</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1:M92"/>
  <sheetViews>
    <sheetView workbookViewId="0" topLeftCell="A1">
      <selection activeCell="F67" sqref="F67"/>
    </sheetView>
  </sheetViews>
  <sheetFormatPr defaultColWidth="9.00390625" defaultRowHeight="13.5"/>
  <sheetData>
    <row r="1" ht="13.5">
      <c r="B1" t="s">
        <v>100</v>
      </c>
    </row>
    <row r="2" spans="2:3" ht="13.5">
      <c r="B2">
        <v>1</v>
      </c>
      <c r="C2" t="s">
        <v>101</v>
      </c>
    </row>
    <row r="3" spans="2:3" ht="13.5">
      <c r="B3">
        <v>2</v>
      </c>
      <c r="C3" t="s">
        <v>102</v>
      </c>
    </row>
    <row r="4" spans="2:3" ht="15">
      <c r="B4">
        <v>1</v>
      </c>
      <c r="C4" s="7" t="str">
        <f>VLOOKUP(B4,B1:C3,2,FALSE)</f>
        <v>SD295A</v>
      </c>
    </row>
    <row r="9" ht="13.5">
      <c r="B9" t="s">
        <v>85</v>
      </c>
    </row>
    <row r="10" spans="2:3" ht="13.5">
      <c r="B10">
        <v>1</v>
      </c>
      <c r="C10" t="s">
        <v>87</v>
      </c>
    </row>
    <row r="11" spans="2:3" ht="13.5">
      <c r="B11">
        <v>2</v>
      </c>
      <c r="C11" t="s">
        <v>86</v>
      </c>
    </row>
    <row r="12" spans="2:3" ht="13.5">
      <c r="B12">
        <v>2</v>
      </c>
      <c r="C12" t="str">
        <f>IF(B12=1,C10,C11)</f>
        <v>三角形分布(道路土工指針)</v>
      </c>
    </row>
    <row r="14" ht="13.5">
      <c r="B14" t="s">
        <v>88</v>
      </c>
    </row>
    <row r="15" spans="2:3" ht="13.5">
      <c r="B15">
        <v>1</v>
      </c>
      <c r="C15" t="s">
        <v>89</v>
      </c>
    </row>
    <row r="16" spans="2:3" ht="13.5">
      <c r="B16">
        <v>2</v>
      </c>
      <c r="C16" t="s">
        <v>90</v>
      </c>
    </row>
    <row r="17" spans="2:3" ht="13.5">
      <c r="B17">
        <v>3</v>
      </c>
      <c r="C17" t="s">
        <v>91</v>
      </c>
    </row>
    <row r="18" spans="2:8" ht="13.5">
      <c r="B18">
        <v>4</v>
      </c>
      <c r="C18" t="str">
        <f>"入力した値("&amp;F18&amp;G18&amp;H18&amp;")"</f>
        <v>入力した値(δ=30度)</v>
      </c>
      <c r="F18" t="s">
        <v>155</v>
      </c>
      <c r="G18">
        <f>'入力画面'!E34</f>
        <v>30</v>
      </c>
      <c r="H18" t="s">
        <v>156</v>
      </c>
    </row>
    <row r="19" spans="2:3" ht="15">
      <c r="B19">
        <v>1</v>
      </c>
      <c r="C19" s="7" t="str">
        <f>VLOOKUP(B19,B15:C18,2,FALSE)</f>
        <v>改良試行くさび法</v>
      </c>
    </row>
    <row r="22" ht="13.5">
      <c r="B22" t="s">
        <v>112</v>
      </c>
    </row>
    <row r="23" spans="2:4" ht="13.5">
      <c r="B23">
        <v>1</v>
      </c>
      <c r="C23" t="s">
        <v>103</v>
      </c>
      <c r="D23">
        <v>31.67</v>
      </c>
    </row>
    <row r="24" spans="2:4" ht="13.5">
      <c r="B24">
        <f>B23+1</f>
        <v>2</v>
      </c>
      <c r="C24" t="s">
        <v>104</v>
      </c>
      <c r="D24">
        <v>71.33</v>
      </c>
    </row>
    <row r="25" spans="2:4" ht="13.5">
      <c r="B25">
        <f aca="true" t="shared" si="0" ref="B25:B31">B24+1</f>
        <v>3</v>
      </c>
      <c r="C25" t="s">
        <v>105</v>
      </c>
      <c r="D25">
        <v>126.7</v>
      </c>
    </row>
    <row r="26" spans="2:4" ht="13.5">
      <c r="B26">
        <f t="shared" si="0"/>
        <v>4</v>
      </c>
      <c r="C26" t="s">
        <v>106</v>
      </c>
      <c r="D26">
        <v>198.6</v>
      </c>
    </row>
    <row r="27" spans="2:4" ht="13.5">
      <c r="B27">
        <f t="shared" si="0"/>
        <v>5</v>
      </c>
      <c r="C27" t="s">
        <v>107</v>
      </c>
      <c r="D27">
        <v>286.5</v>
      </c>
    </row>
    <row r="28" spans="2:4" ht="13.5">
      <c r="B28">
        <f t="shared" si="0"/>
        <v>6</v>
      </c>
      <c r="C28" t="s">
        <v>108</v>
      </c>
      <c r="D28">
        <v>387.1</v>
      </c>
    </row>
    <row r="29" spans="2:4" ht="13.5">
      <c r="B29">
        <f t="shared" si="0"/>
        <v>7</v>
      </c>
      <c r="C29" t="s">
        <v>109</v>
      </c>
      <c r="D29">
        <v>506.7</v>
      </c>
    </row>
    <row r="30" spans="2:4" ht="13.5">
      <c r="B30">
        <f t="shared" si="0"/>
        <v>8</v>
      </c>
      <c r="C30" t="s">
        <v>110</v>
      </c>
      <c r="D30">
        <v>642.4</v>
      </c>
    </row>
    <row r="31" spans="2:4" ht="13.5">
      <c r="B31">
        <f t="shared" si="0"/>
        <v>9</v>
      </c>
      <c r="C31" t="s">
        <v>111</v>
      </c>
      <c r="D31">
        <v>794.2</v>
      </c>
    </row>
    <row r="32" spans="2:4" ht="15">
      <c r="B32">
        <v>4</v>
      </c>
      <c r="C32" s="7" t="str">
        <f>VLOOKUP($B$32,$B$23:$D$31,2,FALSE)</f>
        <v>D16</v>
      </c>
      <c r="D32" s="7">
        <f>VLOOKUP($B$32,$B$23:$D$31,3,FALSE)</f>
        <v>198.6</v>
      </c>
    </row>
    <row r="35" ht="13.5">
      <c r="B35" t="s">
        <v>113</v>
      </c>
    </row>
    <row r="36" spans="2:4" ht="13.5">
      <c r="B36">
        <v>1</v>
      </c>
      <c r="C36" t="s">
        <v>103</v>
      </c>
      <c r="D36">
        <v>31.67</v>
      </c>
    </row>
    <row r="37" spans="2:4" ht="13.5">
      <c r="B37">
        <f>B36+1</f>
        <v>2</v>
      </c>
      <c r="C37" t="s">
        <v>104</v>
      </c>
      <c r="D37">
        <v>71.33</v>
      </c>
    </row>
    <row r="38" spans="2:4" ht="13.5">
      <c r="B38">
        <f aca="true" t="shared" si="1" ref="B38:B44">B37+1</f>
        <v>3</v>
      </c>
      <c r="C38" t="s">
        <v>105</v>
      </c>
      <c r="D38">
        <v>126.7</v>
      </c>
    </row>
    <row r="39" spans="2:4" ht="13.5">
      <c r="B39">
        <f t="shared" si="1"/>
        <v>4</v>
      </c>
      <c r="C39" t="s">
        <v>106</v>
      </c>
      <c r="D39">
        <v>198.6</v>
      </c>
    </row>
    <row r="40" spans="2:4" ht="13.5">
      <c r="B40">
        <f t="shared" si="1"/>
        <v>5</v>
      </c>
      <c r="C40" t="s">
        <v>107</v>
      </c>
      <c r="D40">
        <v>286.5</v>
      </c>
    </row>
    <row r="41" spans="2:4" ht="13.5">
      <c r="B41">
        <f t="shared" si="1"/>
        <v>6</v>
      </c>
      <c r="C41" t="s">
        <v>108</v>
      </c>
      <c r="D41">
        <v>387.1</v>
      </c>
    </row>
    <row r="42" spans="2:4" ht="13.5">
      <c r="B42">
        <f t="shared" si="1"/>
        <v>7</v>
      </c>
      <c r="C42" t="s">
        <v>109</v>
      </c>
      <c r="D42">
        <v>506.7</v>
      </c>
    </row>
    <row r="43" spans="2:4" ht="13.5">
      <c r="B43">
        <f t="shared" si="1"/>
        <v>8</v>
      </c>
      <c r="C43" t="s">
        <v>110</v>
      </c>
      <c r="D43">
        <v>642.4</v>
      </c>
    </row>
    <row r="44" spans="2:4" ht="13.5">
      <c r="B44">
        <f t="shared" si="1"/>
        <v>9</v>
      </c>
      <c r="C44" t="s">
        <v>111</v>
      </c>
      <c r="D44">
        <v>794.2</v>
      </c>
    </row>
    <row r="45" spans="2:4" ht="15">
      <c r="B45">
        <v>4</v>
      </c>
      <c r="C45" s="7" t="str">
        <f>VLOOKUP($B$45,$B$36:$D$44,2,FALSE)</f>
        <v>D16</v>
      </c>
      <c r="D45" s="7">
        <f>VLOOKUP($B$45,$B$36:$D$44,3,FALSE)</f>
        <v>198.6</v>
      </c>
    </row>
    <row r="47" spans="12:13" ht="13.5">
      <c r="L47" t="s">
        <v>121</v>
      </c>
      <c r="M47">
        <f>'入力画面'!Q3</f>
        <v>200</v>
      </c>
    </row>
    <row r="49" spans="2:13" ht="13.5">
      <c r="B49" t="str">
        <f>'入力画面'!D2</f>
        <v>H</v>
      </c>
      <c r="C49">
        <f>'入力画面'!E2</f>
        <v>2.5</v>
      </c>
      <c r="D49" t="str">
        <f>'入力画面'!F2</f>
        <v>mm</v>
      </c>
      <c r="F49" t="s">
        <v>114</v>
      </c>
      <c r="G49" t="s">
        <v>115</v>
      </c>
      <c r="H49" t="s">
        <v>117</v>
      </c>
      <c r="I49" t="s">
        <v>118</v>
      </c>
      <c r="J49" t="s">
        <v>65</v>
      </c>
      <c r="K49" t="s">
        <v>68</v>
      </c>
      <c r="L49" t="s">
        <v>119</v>
      </c>
      <c r="M49" t="s">
        <v>120</v>
      </c>
    </row>
    <row r="50" spans="2:7" ht="13.5">
      <c r="B50" t="str">
        <f>'入力画面'!D3</f>
        <v>H1</v>
      </c>
      <c r="C50">
        <f>'入力画面'!E3</f>
        <v>0.22</v>
      </c>
      <c r="D50" t="str">
        <f>'入力画面'!F3</f>
        <v>mm</v>
      </c>
      <c r="F50">
        <v>0</v>
      </c>
      <c r="G50">
        <v>0</v>
      </c>
    </row>
    <row r="51" spans="2:7" ht="13.5">
      <c r="B51" t="str">
        <f>'入力画面'!D4</f>
        <v>H2</v>
      </c>
      <c r="C51">
        <f>'入力画面'!E4</f>
        <v>0.2</v>
      </c>
      <c r="D51" t="str">
        <f>'入力画面'!F4</f>
        <v>mm</v>
      </c>
      <c r="F51">
        <f>0</f>
        <v>0</v>
      </c>
      <c r="G51">
        <f>C49</f>
        <v>2.5</v>
      </c>
    </row>
    <row r="52" spans="2:7" ht="13.5">
      <c r="B52" t="str">
        <f>'入力画面'!D5</f>
        <v>H3</v>
      </c>
      <c r="C52">
        <f>'入力画面'!E5</f>
        <v>1.88</v>
      </c>
      <c r="D52" t="str">
        <f>'入力画面'!F5</f>
        <v>mm</v>
      </c>
      <c r="F52">
        <f>C59</f>
        <v>0.1</v>
      </c>
      <c r="G52">
        <f>G51</f>
        <v>2.5</v>
      </c>
    </row>
    <row r="53" spans="2:7" ht="13.5">
      <c r="B53" t="str">
        <f>'入力画面'!D6</f>
        <v>H4</v>
      </c>
      <c r="C53">
        <f>'入力画面'!E6</f>
        <v>0.2</v>
      </c>
      <c r="D53" t="str">
        <f>'入力画面'!F6</f>
        <v>mm</v>
      </c>
      <c r="F53">
        <f>F52</f>
        <v>0.1</v>
      </c>
      <c r="G53">
        <f>G52-C53</f>
        <v>2.3</v>
      </c>
    </row>
    <row r="54" spans="2:7" ht="13.5">
      <c r="B54" t="str">
        <f>'入力画面'!D7</f>
        <v>B</v>
      </c>
      <c r="C54">
        <f>'入力画面'!E7</f>
        <v>2.1</v>
      </c>
      <c r="D54" t="str">
        <f>'入力画面'!F7</f>
        <v>mm</v>
      </c>
      <c r="F54">
        <f>C55</f>
        <v>0.22</v>
      </c>
      <c r="G54">
        <f>C50+C51</f>
        <v>0.42000000000000004</v>
      </c>
    </row>
    <row r="55" spans="2:7" ht="13.5">
      <c r="B55" t="str">
        <f>'入力画面'!D8</f>
        <v>B1</v>
      </c>
      <c r="C55">
        <f>'入力画面'!E8</f>
        <v>0.22</v>
      </c>
      <c r="D55" t="str">
        <f>'入力画面'!F8</f>
        <v>mm</v>
      </c>
      <c r="F55">
        <f>C55+C56</f>
        <v>0.42000000000000004</v>
      </c>
      <c r="G55">
        <f>C50</f>
        <v>0.22</v>
      </c>
    </row>
    <row r="56" spans="2:7" ht="13.5">
      <c r="B56" t="str">
        <f>'入力画面'!D9</f>
        <v>B2</v>
      </c>
      <c r="C56">
        <f>'入力画面'!E9</f>
        <v>0.2</v>
      </c>
      <c r="D56" t="str">
        <f>'入力画面'!F9</f>
        <v>mm</v>
      </c>
      <c r="F56">
        <f>C54-C58</f>
        <v>1.8</v>
      </c>
      <c r="G56">
        <f>C60</f>
        <v>0.1</v>
      </c>
    </row>
    <row r="57" spans="2:7" ht="13.5">
      <c r="B57" t="str">
        <f>'入力画面'!D10</f>
        <v>B3</v>
      </c>
      <c r="C57">
        <f>'入力画面'!E10</f>
        <v>1.3800000000000001</v>
      </c>
      <c r="D57" t="str">
        <f>'入力画面'!F10</f>
        <v>mm</v>
      </c>
      <c r="F57">
        <f>C54</f>
        <v>2.1</v>
      </c>
      <c r="G57">
        <f>G56</f>
        <v>0.1</v>
      </c>
    </row>
    <row r="58" spans="2:7" ht="13.5">
      <c r="B58" t="str">
        <f>'入力画面'!D11</f>
        <v>B4</v>
      </c>
      <c r="C58">
        <f>'入力画面'!E11</f>
        <v>0.3</v>
      </c>
      <c r="D58" t="str">
        <f>'入力画面'!F11</f>
        <v>mm</v>
      </c>
      <c r="F58">
        <f>F57</f>
        <v>2.1</v>
      </c>
      <c r="G58">
        <v>0</v>
      </c>
    </row>
    <row r="59" spans="2:7" ht="13.5">
      <c r="B59" t="str">
        <f>'入力画面'!D12</f>
        <v>tw</v>
      </c>
      <c r="C59">
        <f>'入力画面'!E12</f>
        <v>0.1</v>
      </c>
      <c r="D59" t="str">
        <f>'入力画面'!F12</f>
        <v>mm</v>
      </c>
      <c r="F59">
        <v>0</v>
      </c>
      <c r="G59">
        <v>0</v>
      </c>
    </row>
    <row r="60" spans="2:8" ht="13.5">
      <c r="B60" t="str">
        <f>'入力画面'!D13</f>
        <v>th</v>
      </c>
      <c r="C60">
        <f>'入力画面'!E13</f>
        <v>0.1</v>
      </c>
      <c r="D60" t="str">
        <f>'入力画面'!F13</f>
        <v>mm</v>
      </c>
      <c r="F60">
        <f>C59</f>
        <v>0.1</v>
      </c>
      <c r="H60">
        <f>C49</f>
        <v>2.5</v>
      </c>
    </row>
    <row r="61" spans="6:8" ht="13.5">
      <c r="F61">
        <f>F60+C62</f>
        <v>0.1</v>
      </c>
      <c r="H61">
        <f>H60</f>
        <v>2.5</v>
      </c>
    </row>
    <row r="62" spans="2:8" ht="13.5">
      <c r="B62" t="str">
        <f>'入力画面'!D14</f>
        <v>s</v>
      </c>
      <c r="C62">
        <f>'入力画面'!E14</f>
        <v>0</v>
      </c>
      <c r="D62" t="str">
        <f>'入力画面'!F14</f>
        <v>m</v>
      </c>
      <c r="F62">
        <f>F61+(C63*C64)</f>
        <v>1.6</v>
      </c>
      <c r="H62">
        <f>H61+C63</f>
        <v>3.5</v>
      </c>
    </row>
    <row r="63" spans="2:8" ht="13.5">
      <c r="B63" t="str">
        <f>'入力画面'!D15</f>
        <v>H0</v>
      </c>
      <c r="C63">
        <f>'入力画面'!E15</f>
        <v>1</v>
      </c>
      <c r="D63" t="str">
        <f>'入力画面'!F15</f>
        <v>m</v>
      </c>
      <c r="F63">
        <f>MAX(C54,F62)+1</f>
        <v>3.1</v>
      </c>
      <c r="H63">
        <f>H62</f>
        <v>3.5</v>
      </c>
    </row>
    <row r="64" spans="2:9" ht="13.5">
      <c r="B64" t="str">
        <f>'入力画面'!D16</f>
        <v>n</v>
      </c>
      <c r="C64">
        <f>'入力画面'!E16</f>
        <v>1.5</v>
      </c>
      <c r="F64">
        <v>0</v>
      </c>
      <c r="I64">
        <f>C65</f>
        <v>0.5</v>
      </c>
    </row>
    <row r="65" spans="2:9" ht="13.5">
      <c r="B65" t="str">
        <f>'入力画面'!D21</f>
        <v>Df</v>
      </c>
      <c r="C65">
        <f>'入力画面'!E21</f>
        <v>0.5</v>
      </c>
      <c r="D65" t="str">
        <f>'入力画面'!F21</f>
        <v>m</v>
      </c>
      <c r="F65">
        <f>-I64</f>
        <v>-0.5</v>
      </c>
      <c r="I65">
        <f>I64</f>
        <v>0.5</v>
      </c>
    </row>
    <row r="66" spans="6:10" ht="13.5">
      <c r="F66">
        <f>IF(B86=2,F58,F62)</f>
        <v>1.6</v>
      </c>
      <c r="J66">
        <f>H62</f>
        <v>3.5</v>
      </c>
    </row>
    <row r="67" spans="2:10" ht="13.5">
      <c r="B67" t="str">
        <f>'入力画面'!D26</f>
        <v>q</v>
      </c>
      <c r="C67">
        <f>'入力画面'!E26</f>
        <v>10</v>
      </c>
      <c r="D67" t="str">
        <f>'入力画面'!F26</f>
        <v>kN/m2</v>
      </c>
      <c r="F67">
        <f>F66</f>
        <v>1.6</v>
      </c>
      <c r="J67">
        <f>J66+C67/C68</f>
        <v>4.026315789473684</v>
      </c>
    </row>
    <row r="68" spans="2:10" ht="13.5">
      <c r="B68" t="str">
        <f>'入力画面'!D17</f>
        <v>γ</v>
      </c>
      <c r="C68">
        <f>'入力画面'!E17</f>
        <v>19</v>
      </c>
      <c r="D68" t="str">
        <f>'入力画面'!F17</f>
        <v>kN/m3</v>
      </c>
      <c r="F68">
        <f>F63</f>
        <v>3.1</v>
      </c>
      <c r="J68">
        <f>J67</f>
        <v>4.026315789473684</v>
      </c>
    </row>
    <row r="69" spans="2:11" ht="13.5">
      <c r="B69" t="str">
        <f>'入力画面'!D28</f>
        <v> h</v>
      </c>
      <c r="C69">
        <f>'入力画面'!E28</f>
        <v>1.1</v>
      </c>
      <c r="D69" t="str">
        <f>'入力画面'!F28</f>
        <v>m</v>
      </c>
      <c r="F69">
        <f>C59/3</f>
        <v>0.03333333333333333</v>
      </c>
      <c r="K69">
        <f>C49</f>
        <v>2.5</v>
      </c>
    </row>
    <row r="70" spans="2:11" ht="13.5">
      <c r="B70" t="str">
        <f>'入力画面'!D29</f>
        <v>PH</v>
      </c>
      <c r="C70">
        <f>'入力画面'!E29</f>
        <v>5</v>
      </c>
      <c r="D70" t="str">
        <f>'入力画面'!F29</f>
        <v>kN/m</v>
      </c>
      <c r="F70">
        <f>F69</f>
        <v>0.03333333333333333</v>
      </c>
      <c r="K70">
        <f>K69+C69</f>
        <v>3.6</v>
      </c>
    </row>
    <row r="71" spans="2:11" ht="13.5">
      <c r="B71" t="str">
        <f>'入力画面'!D30</f>
        <v>PV</v>
      </c>
      <c r="C71">
        <f>'入力画面'!E30</f>
        <v>0</v>
      </c>
      <c r="D71" t="str">
        <f>'入力画面'!F30</f>
        <v>kN/m</v>
      </c>
      <c r="F71">
        <f>C59/3*2</f>
        <v>0.06666666666666667</v>
      </c>
      <c r="K71">
        <f>K70</f>
        <v>3.6</v>
      </c>
    </row>
    <row r="72" spans="6:11" ht="13.5">
      <c r="F72">
        <f>F71</f>
        <v>0.06666666666666667</v>
      </c>
      <c r="K72">
        <f>K69</f>
        <v>2.5</v>
      </c>
    </row>
    <row r="73" spans="6:12" ht="13.5">
      <c r="F73">
        <f>C59/2</f>
        <v>0.05</v>
      </c>
      <c r="L73">
        <f>K71</f>
        <v>3.6</v>
      </c>
    </row>
    <row r="74" spans="6:12" ht="13.5">
      <c r="F74">
        <f>F73</f>
        <v>0.05</v>
      </c>
      <c r="L74">
        <f>C71/M47+L73</f>
        <v>3.6</v>
      </c>
    </row>
    <row r="75" spans="6:13" ht="13.5">
      <c r="F75">
        <f>F74</f>
        <v>0.05</v>
      </c>
      <c r="M75">
        <f>L73</f>
        <v>3.6</v>
      </c>
    </row>
    <row r="76" spans="6:13" ht="13.5">
      <c r="F76">
        <f>C70/M47+F75</f>
        <v>0.07500000000000001</v>
      </c>
      <c r="M76">
        <f>M75</f>
        <v>3.6</v>
      </c>
    </row>
    <row r="83" ht="13.5">
      <c r="B83" t="s">
        <v>179</v>
      </c>
    </row>
    <row r="84" spans="2:3" ht="13.5">
      <c r="B84">
        <v>1</v>
      </c>
      <c r="C84" t="s">
        <v>180</v>
      </c>
    </row>
    <row r="85" spans="2:3" ht="13.5">
      <c r="B85">
        <v>2</v>
      </c>
      <c r="C85" t="s">
        <v>181</v>
      </c>
    </row>
    <row r="86" spans="2:3" ht="15">
      <c r="B86">
        <v>1</v>
      </c>
      <c r="C86" s="7" t="str">
        <f>VLOOKUP(B86,B83:C85,2,FALSE)</f>
        <v>全体載荷</v>
      </c>
    </row>
    <row r="89" ht="13.5">
      <c r="B89" t="s">
        <v>554</v>
      </c>
    </row>
    <row r="90" spans="2:3" ht="13.5">
      <c r="B90">
        <v>1</v>
      </c>
      <c r="C90" t="s">
        <v>555</v>
      </c>
    </row>
    <row r="91" spans="2:3" ht="13.5">
      <c r="B91">
        <v>2</v>
      </c>
      <c r="C91" t="s">
        <v>556</v>
      </c>
    </row>
    <row r="92" spans="2:3" ht="15">
      <c r="B92">
        <v>1</v>
      </c>
      <c r="C92" s="7" t="str">
        <f>VLOOKUP(B92,B89:C91,2,FALSE)</f>
        <v>たて壁基部の曲げモーメント以下(道路土工指針)</v>
      </c>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(株)第一コンサルタンツ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2006-02-02T04:42:46Z</cp:lastPrinted>
  <dcterms:created xsi:type="dcterms:W3CDTF">2005-09-06T00:19:28Z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