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8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'Sheet1'!$A$1:$H$99</definedName>
    <definedName name="solver_adj" localSheetId="0" hidden="1">'Sheet1'!$B$65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'Sheet1'!$F$65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<sst xmlns="http://schemas.openxmlformats.org/spreadsheetml/2006/main" count="70" uniqueCount="59">
  <si>
    <t>V=</t>
  </si>
  <si>
    <t>H=</t>
  </si>
  <si>
    <t>B=</t>
  </si>
  <si>
    <t>S=</t>
  </si>
  <si>
    <t>γ=</t>
  </si>
  <si>
    <t>φ=</t>
  </si>
  <si>
    <t>c=</t>
  </si>
  <si>
    <t>度</t>
  </si>
  <si>
    <t>kN/m2</t>
  </si>
  <si>
    <t>kN/m3</t>
  </si>
  <si>
    <t>m</t>
  </si>
  <si>
    <t>kN/m</t>
  </si>
  <si>
    <t>rad</t>
  </si>
  <si>
    <t>m</t>
  </si>
  <si>
    <t>kN/m</t>
  </si>
  <si>
    <t>tanθ=</t>
  </si>
  <si>
    <t>ω(deg)</t>
  </si>
  <si>
    <t>Qu(kN/m)</t>
  </si>
  <si>
    <t>ω(rad)</t>
  </si>
  <si>
    <t>L(m)</t>
  </si>
  <si>
    <t>W(kN/m)</t>
  </si>
  <si>
    <t>β=</t>
  </si>
  <si>
    <t>鉛直力</t>
  </si>
  <si>
    <t>水平力</t>
  </si>
  <si>
    <t>基礎幅</t>
  </si>
  <si>
    <t>余裕幅</t>
  </si>
  <si>
    <t>単位重量</t>
  </si>
  <si>
    <t>内部摩擦角</t>
  </si>
  <si>
    <t>粘着力</t>
  </si>
  <si>
    <t>β=</t>
  </si>
  <si>
    <t>斜面角</t>
  </si>
  <si>
    <t>■入力条件</t>
  </si>
  <si>
    <t>ω=</t>
  </si>
  <si>
    <t>度</t>
  </si>
  <si>
    <t>L=</t>
  </si>
  <si>
    <t>(B+S)secω=</t>
  </si>
  <si>
    <t>W=</t>
  </si>
  <si>
    <t>極限支持力</t>
  </si>
  <si>
    <t>Qu=</t>
  </si>
  <si>
    <t>すべり面抗力Rの傾斜角</t>
  </si>
  <si>
    <t>Ω=</t>
  </si>
  <si>
    <t>cLcosφ-WsinΩ</t>
  </si>
  <si>
    <t>sinΩ+tanθcosΩ</t>
  </si>
  <si>
    <t>=</t>
  </si>
  <si>
    <t>■計算結果</t>
  </si>
  <si>
    <r>
      <t>(正解</t>
    </r>
    <r>
      <rPr>
        <sz val="11"/>
        <rFont val="ＭＳ Ｐゴシック"/>
        <family val="3"/>
      </rPr>
      <t>)</t>
    </r>
  </si>
  <si>
    <t>すべり角と支持力の関係</t>
  </si>
  <si>
    <t xml:space="preserve"> </t>
  </si>
  <si>
    <t>データ入力後ソルバーを実行すること</t>
  </si>
  <si>
    <t>斜面上の基礎の支持力</t>
  </si>
  <si>
    <t>支持力の安全率</t>
  </si>
  <si>
    <t>Fs=</t>
  </si>
  <si>
    <t>Nc=</t>
  </si>
  <si>
    <t>α=S/B=</t>
  </si>
  <si>
    <t>X=sin(ω-φ)+tanθcos(ω-φ)=</t>
  </si>
  <si>
    <t>tanθ=H/V=</t>
  </si>
  <si>
    <t>Qu=</t>
  </si>
  <si>
    <t>Nγ=</t>
  </si>
  <si>
    <t>Nc=6.90，Nγ= -8.52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</si>
</sst>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.00000000"/>
    <numFmt numFmtId="181" formatCode="0.0000000"/>
    <numFmt numFmtId="182" formatCode="0.00000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Symbol"/>
      <family val="1"/>
    </font>
    <font>
      <i/>
      <sz val="11"/>
      <name val="Times New Roman"/>
      <family val="1"/>
    </font>
    <font>
      <sz val="8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2" fontId="0" fillId="0" borderId="3" xfId="0" applyNumberFormat="1" applyBorder="1" applyAlignment="1">
      <alignment horizontal="center" shrinkToFit="1"/>
    </xf>
    <xf numFmtId="179" fontId="0" fillId="0" borderId="0" xfId="0" applyNumberFormat="1" applyAlignment="1">
      <alignment/>
    </xf>
    <xf numFmtId="179" fontId="0" fillId="0" borderId="3" xfId="0" applyNumberFormat="1" applyFont="1" applyBorder="1" applyAlignment="1">
      <alignment horizontal="center" shrinkToFit="1"/>
    </xf>
    <xf numFmtId="2" fontId="0" fillId="0" borderId="3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179" fontId="0" fillId="0" borderId="0" xfId="0" applyNumberFormat="1" applyBorder="1" applyAlignment="1">
      <alignment horizontal="center" shrinkToFit="1"/>
    </xf>
    <xf numFmtId="2" fontId="0" fillId="0" borderId="0" xfId="0" applyNumberFormat="1" applyBorder="1" applyAlignment="1">
      <alignment horizontal="center" shrinkToFit="1"/>
    </xf>
    <xf numFmtId="2" fontId="0" fillId="0" borderId="1" xfId="0" applyNumberFormat="1" applyBorder="1" applyAlignment="1">
      <alignment horizontal="center" shrinkToFi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0" fontId="0" fillId="0" borderId="0" xfId="0" applyAlignment="1" quotePrefix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Sheet1!$F$46</c:f>
              <c:strCache>
                <c:ptCount val="1"/>
                <c:pt idx="0">
                  <c:v>Qu(kN/m)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Sheet1!$B$47:$B$82</c:f>
              <c:numCache>
                <c:ptCount val="3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63.32264375633903</c:v>
                </c:pt>
                <c:pt idx="19">
                  <c:v>64</c:v>
                </c:pt>
                <c:pt idx="20">
                  <c:v>65</c:v>
                </c:pt>
                <c:pt idx="21">
                  <c:v>66</c:v>
                </c:pt>
                <c:pt idx="22">
                  <c:v>67</c:v>
                </c:pt>
                <c:pt idx="23">
                  <c:v>68</c:v>
                </c:pt>
                <c:pt idx="24">
                  <c:v>69</c:v>
                </c:pt>
                <c:pt idx="25">
                  <c:v>70</c:v>
                </c:pt>
                <c:pt idx="26">
                  <c:v>71</c:v>
                </c:pt>
                <c:pt idx="27">
                  <c:v>72</c:v>
                </c:pt>
                <c:pt idx="28">
                  <c:v>73</c:v>
                </c:pt>
                <c:pt idx="29">
                  <c:v>74</c:v>
                </c:pt>
                <c:pt idx="30">
                  <c:v>75</c:v>
                </c:pt>
                <c:pt idx="31">
                  <c:v>76</c:v>
                </c:pt>
                <c:pt idx="32">
                  <c:v>77</c:v>
                </c:pt>
                <c:pt idx="33">
                  <c:v>78</c:v>
                </c:pt>
                <c:pt idx="34">
                  <c:v>79</c:v>
                </c:pt>
                <c:pt idx="35">
                  <c:v>80</c:v>
                </c:pt>
              </c:numCache>
            </c:numRef>
          </c:cat>
          <c:val>
            <c:numRef>
              <c:f>Sheet1!$F$47:$F$82</c:f>
              <c:numCache>
                <c:ptCount val="36"/>
                <c:pt idx="0">
                  <c:v>715.1141005271226</c:v>
                </c:pt>
                <c:pt idx="1">
                  <c:v>681.1186627550965</c:v>
                </c:pt>
                <c:pt idx="2">
                  <c:v>651.4256376939283</c:v>
                </c:pt>
                <c:pt idx="3">
                  <c:v>625.3781012753684</c:v>
                </c:pt>
                <c:pt idx="4">
                  <c:v>602.4555786314052</c:v>
                </c:pt>
                <c:pt idx="5">
                  <c:v>582.2414747440686</c:v>
                </c:pt>
                <c:pt idx="6">
                  <c:v>564.399560870751</c:v>
                </c:pt>
                <c:pt idx="7">
                  <c:v>548.6567351689946</c:v>
                </c:pt>
                <c:pt idx="8">
                  <c:v>534.7902164529905</c:v>
                </c:pt>
                <c:pt idx="9">
                  <c:v>522.6179284534688</c:v>
                </c:pt>
                <c:pt idx="10">
                  <c:v>511.9912215008158</c:v>
                </c:pt>
                <c:pt idx="11">
                  <c:v>502.789337581264</c:v>
                </c:pt>
                <c:pt idx="12">
                  <c:v>494.9152005439896</c:v>
                </c:pt>
                <c:pt idx="13">
                  <c:v>488.2922351220682</c:v>
                </c:pt>
                <c:pt idx="14">
                  <c:v>482.8620048947542</c:v>
                </c:pt>
                <c:pt idx="15">
                  <c:v>478.5825223801776</c:v>
                </c:pt>
                <c:pt idx="16">
                  <c:v>475.42713213310014</c:v>
                </c:pt>
                <c:pt idx="17">
                  <c:v>473.3839056056009</c:v>
                </c:pt>
                <c:pt idx="18">
                  <c:v>472.3963375304354</c:v>
                </c:pt>
                <c:pt idx="19">
                  <c:v>472.6596127902286</c:v>
                </c:pt>
                <c:pt idx="20">
                  <c:v>474.02967005798547</c:v>
                </c:pt>
                <c:pt idx="21">
                  <c:v>476.6164685578082</c:v>
                </c:pt>
                <c:pt idx="22">
                  <c:v>480.4902231960213</c:v>
                </c:pt>
                <c:pt idx="23">
                  <c:v>485.74357317781846</c:v>
                </c:pt>
                <c:pt idx="24">
                  <c:v>492.49564952167566</c:v>
                </c:pt>
                <c:pt idx="25">
                  <c:v>500.8975597856746</c:v>
                </c:pt>
                <c:pt idx="26">
                  <c:v>511.13977734852216</c:v>
                </c:pt>
                <c:pt idx="27">
                  <c:v>523.4621460634351</c:v>
                </c:pt>
                <c:pt idx="28">
                  <c:v>538.1675513893483</c:v>
                </c:pt>
                <c:pt idx="29">
                  <c:v>555.6408395642914</c:v>
                </c:pt>
                <c:pt idx="30">
                  <c:v>576.3754140916237</c:v>
                </c:pt>
                <c:pt idx="31">
                  <c:v>601.0113306014956</c:v>
                </c:pt>
                <c:pt idx="32">
                  <c:v>630.3910657508337</c:v>
                </c:pt>
                <c:pt idx="33">
                  <c:v>665.6432557407459</c:v>
                </c:pt>
                <c:pt idx="34">
                  <c:v>708.3121902315992</c:v>
                </c:pt>
                <c:pt idx="35">
                  <c:v>760.5650783290744</c:v>
                </c:pt>
              </c:numCache>
            </c:numRef>
          </c:val>
          <c:smooth val="0"/>
        </c:ser>
        <c:marker val="1"/>
        <c:axId val="37735480"/>
        <c:axId val="4075001"/>
      </c:lineChart>
      <c:catAx>
        <c:axId val="37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ω(度)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75001"/>
        <c:crosses val="autoZero"/>
        <c:auto val="1"/>
        <c:lblOffset val="100"/>
        <c:noMultiLvlLbl val="0"/>
      </c:catAx>
      <c:valAx>
        <c:axId val="407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Qu(kN/m)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35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82</xdr:row>
      <xdr:rowOff>123825</xdr:rowOff>
    </xdr:from>
    <xdr:to>
      <xdr:col>6</xdr:col>
      <xdr:colOff>495300</xdr:colOff>
      <xdr:row>98</xdr:row>
      <xdr:rowOff>152400</xdr:rowOff>
    </xdr:to>
    <xdr:graphicFrame>
      <xdr:nvGraphicFramePr>
        <xdr:cNvPr id="1" name="Chart 5"/>
        <xdr:cNvGraphicFramePr/>
      </xdr:nvGraphicFramePr>
      <xdr:xfrm>
        <a:off x="542925" y="14230350"/>
        <a:ext cx="41624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16</xdr:row>
      <xdr:rowOff>28575</xdr:rowOff>
    </xdr:from>
    <xdr:to>
      <xdr:col>3</xdr:col>
      <xdr:colOff>0</xdr:colOff>
      <xdr:row>18</xdr:row>
      <xdr:rowOff>0</xdr:rowOff>
    </xdr:to>
    <xdr:sp>
      <xdr:nvSpPr>
        <xdr:cNvPr id="2" name="Rectangle 6"/>
        <xdr:cNvSpPr>
          <a:spLocks/>
        </xdr:cNvSpPr>
      </xdr:nvSpPr>
      <xdr:spPr>
        <a:xfrm>
          <a:off x="1466850" y="2819400"/>
          <a:ext cx="685800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18</xdr:row>
      <xdr:rowOff>0</xdr:rowOff>
    </xdr:from>
    <xdr:to>
      <xdr:col>3</xdr:col>
      <xdr:colOff>676275</xdr:colOff>
      <xdr:row>25</xdr:row>
      <xdr:rowOff>47625</xdr:rowOff>
    </xdr:to>
    <xdr:sp>
      <xdr:nvSpPr>
        <xdr:cNvPr id="3" name="Polygon 7"/>
        <xdr:cNvSpPr>
          <a:spLocks/>
        </xdr:cNvSpPr>
      </xdr:nvSpPr>
      <xdr:spPr>
        <a:xfrm>
          <a:off x="1104900" y="3133725"/>
          <a:ext cx="1724025" cy="1247775"/>
        </a:xfrm>
        <a:custGeom>
          <a:pathLst>
            <a:path h="131" w="181">
              <a:moveTo>
                <a:pt x="0" y="0"/>
              </a:moveTo>
              <a:lnTo>
                <a:pt x="181" y="0"/>
              </a:lnTo>
              <a:lnTo>
                <a:pt x="181" y="13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9525</xdr:rowOff>
    </xdr:from>
    <xdr:to>
      <xdr:col>3</xdr:col>
      <xdr:colOff>676275</xdr:colOff>
      <xdr:row>22</xdr:row>
      <xdr:rowOff>123825</xdr:rowOff>
    </xdr:to>
    <xdr:sp>
      <xdr:nvSpPr>
        <xdr:cNvPr id="4" name="Line 8"/>
        <xdr:cNvSpPr>
          <a:spLocks/>
        </xdr:cNvSpPr>
      </xdr:nvSpPr>
      <xdr:spPr>
        <a:xfrm>
          <a:off x="1466850" y="3143250"/>
          <a:ext cx="1362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14</xdr:row>
      <xdr:rowOff>85725</xdr:rowOff>
    </xdr:from>
    <xdr:to>
      <xdr:col>2</xdr:col>
      <xdr:colOff>342900</xdr:colOff>
      <xdr:row>17</xdr:row>
      <xdr:rowOff>161925</xdr:rowOff>
    </xdr:to>
    <xdr:sp>
      <xdr:nvSpPr>
        <xdr:cNvPr id="5" name="Line 9"/>
        <xdr:cNvSpPr>
          <a:spLocks/>
        </xdr:cNvSpPr>
      </xdr:nvSpPr>
      <xdr:spPr>
        <a:xfrm>
          <a:off x="1809750" y="2533650"/>
          <a:ext cx="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17</xdr:row>
      <xdr:rowOff>142875</xdr:rowOff>
    </xdr:from>
    <xdr:to>
      <xdr:col>2</xdr:col>
      <xdr:colOff>628650</xdr:colOff>
      <xdr:row>17</xdr:row>
      <xdr:rowOff>142875</xdr:rowOff>
    </xdr:to>
    <xdr:sp>
      <xdr:nvSpPr>
        <xdr:cNvPr id="6" name="Line 10"/>
        <xdr:cNvSpPr>
          <a:spLocks/>
        </xdr:cNvSpPr>
      </xdr:nvSpPr>
      <xdr:spPr>
        <a:xfrm>
          <a:off x="1876425" y="3105150"/>
          <a:ext cx="219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16</xdr:row>
      <xdr:rowOff>9525</xdr:rowOff>
    </xdr:to>
    <xdr:sp>
      <xdr:nvSpPr>
        <xdr:cNvPr id="7" name="Line 11"/>
        <xdr:cNvSpPr>
          <a:spLocks/>
        </xdr:cNvSpPr>
      </xdr:nvSpPr>
      <xdr:spPr>
        <a:xfrm flipV="1">
          <a:off x="1466850" y="2276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9525</xdr:colOff>
      <xdr:row>16</xdr:row>
      <xdr:rowOff>9525</xdr:rowOff>
    </xdr:to>
    <xdr:sp>
      <xdr:nvSpPr>
        <xdr:cNvPr id="8" name="Line 12"/>
        <xdr:cNvSpPr>
          <a:spLocks/>
        </xdr:cNvSpPr>
      </xdr:nvSpPr>
      <xdr:spPr>
        <a:xfrm flipV="1">
          <a:off x="2162175" y="2276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57150</xdr:rowOff>
    </xdr:from>
    <xdr:to>
      <xdr:col>3</xdr:col>
      <xdr:colOff>0</xdr:colOff>
      <xdr:row>13</xdr:row>
      <xdr:rowOff>57150</xdr:rowOff>
    </xdr:to>
    <xdr:sp>
      <xdr:nvSpPr>
        <xdr:cNvPr id="9" name="Line 13"/>
        <xdr:cNvSpPr>
          <a:spLocks/>
        </xdr:cNvSpPr>
      </xdr:nvSpPr>
      <xdr:spPr>
        <a:xfrm>
          <a:off x="1476375" y="2333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57150</xdr:rowOff>
    </xdr:from>
    <xdr:to>
      <xdr:col>3</xdr:col>
      <xdr:colOff>666750</xdr:colOff>
      <xdr:row>13</xdr:row>
      <xdr:rowOff>57150</xdr:rowOff>
    </xdr:to>
    <xdr:sp>
      <xdr:nvSpPr>
        <xdr:cNvPr id="10" name="Line 14"/>
        <xdr:cNvSpPr>
          <a:spLocks/>
        </xdr:cNvSpPr>
      </xdr:nvSpPr>
      <xdr:spPr>
        <a:xfrm>
          <a:off x="2162175" y="23336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13</xdr:row>
      <xdr:rowOff>19050</xdr:rowOff>
    </xdr:from>
    <xdr:to>
      <xdr:col>3</xdr:col>
      <xdr:colOff>676275</xdr:colOff>
      <xdr:row>17</xdr:row>
      <xdr:rowOff>152400</xdr:rowOff>
    </xdr:to>
    <xdr:sp>
      <xdr:nvSpPr>
        <xdr:cNvPr id="11" name="Line 15"/>
        <xdr:cNvSpPr>
          <a:spLocks/>
        </xdr:cNvSpPr>
      </xdr:nvSpPr>
      <xdr:spPr>
        <a:xfrm flipV="1">
          <a:off x="2828925" y="22955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22</xdr:row>
      <xdr:rowOff>133350</xdr:rowOff>
    </xdr:from>
    <xdr:to>
      <xdr:col>3</xdr:col>
      <xdr:colOff>666750</xdr:colOff>
      <xdr:row>22</xdr:row>
      <xdr:rowOff>133350</xdr:rowOff>
    </xdr:to>
    <xdr:sp>
      <xdr:nvSpPr>
        <xdr:cNvPr id="12" name="Line 16"/>
        <xdr:cNvSpPr>
          <a:spLocks/>
        </xdr:cNvSpPr>
      </xdr:nvSpPr>
      <xdr:spPr>
        <a:xfrm flipH="1">
          <a:off x="2371725" y="39528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21</xdr:row>
      <xdr:rowOff>123825</xdr:rowOff>
    </xdr:from>
    <xdr:to>
      <xdr:col>3</xdr:col>
      <xdr:colOff>666750</xdr:colOff>
      <xdr:row>22</xdr:row>
      <xdr:rowOff>133350</xdr:rowOff>
    </xdr:to>
    <xdr:sp>
      <xdr:nvSpPr>
        <xdr:cNvPr id="13" name="Arc 17"/>
        <xdr:cNvSpPr>
          <a:spLocks/>
        </xdr:cNvSpPr>
      </xdr:nvSpPr>
      <xdr:spPr>
        <a:xfrm flipH="1">
          <a:off x="2495550" y="3771900"/>
          <a:ext cx="323850" cy="180975"/>
        </a:xfrm>
        <a:prstGeom prst="arc">
          <a:avLst>
            <a:gd name="adj1" fmla="val -10667699"/>
            <a:gd name="adj2" fmla="val 73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66675</xdr:rowOff>
    </xdr:from>
    <xdr:to>
      <xdr:col>3</xdr:col>
      <xdr:colOff>171450</xdr:colOff>
      <xdr:row>24</xdr:row>
      <xdr:rowOff>0</xdr:rowOff>
    </xdr:to>
    <xdr:sp>
      <xdr:nvSpPr>
        <xdr:cNvPr id="14" name="Line 18"/>
        <xdr:cNvSpPr>
          <a:spLocks/>
        </xdr:cNvSpPr>
      </xdr:nvSpPr>
      <xdr:spPr>
        <a:xfrm>
          <a:off x="2324100" y="3371850"/>
          <a:ext cx="0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114300</xdr:rowOff>
    </xdr:from>
    <xdr:to>
      <xdr:col>3</xdr:col>
      <xdr:colOff>409575</xdr:colOff>
      <xdr:row>25</xdr:row>
      <xdr:rowOff>57150</xdr:rowOff>
    </xdr:to>
    <xdr:sp>
      <xdr:nvSpPr>
        <xdr:cNvPr id="15" name="Line 19"/>
        <xdr:cNvSpPr>
          <a:spLocks/>
        </xdr:cNvSpPr>
      </xdr:nvSpPr>
      <xdr:spPr>
        <a:xfrm>
          <a:off x="1209675" y="3590925"/>
          <a:ext cx="13525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18</xdr:row>
      <xdr:rowOff>19050</xdr:rowOff>
    </xdr:from>
    <xdr:to>
      <xdr:col>1</xdr:col>
      <xdr:colOff>676275</xdr:colOff>
      <xdr:row>21</xdr:row>
      <xdr:rowOff>0</xdr:rowOff>
    </xdr:to>
    <xdr:sp>
      <xdr:nvSpPr>
        <xdr:cNvPr id="16" name="Line 20"/>
        <xdr:cNvSpPr>
          <a:spLocks/>
        </xdr:cNvSpPr>
      </xdr:nvSpPr>
      <xdr:spPr>
        <a:xfrm rot="16200000">
          <a:off x="1162050" y="3152775"/>
          <a:ext cx="2952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22</xdr:row>
      <xdr:rowOff>142875</xdr:rowOff>
    </xdr:from>
    <xdr:to>
      <xdr:col>3</xdr:col>
      <xdr:colOff>666750</xdr:colOff>
      <xdr:row>25</xdr:row>
      <xdr:rowOff>123825</xdr:rowOff>
    </xdr:to>
    <xdr:sp>
      <xdr:nvSpPr>
        <xdr:cNvPr id="17" name="Line 21"/>
        <xdr:cNvSpPr>
          <a:spLocks/>
        </xdr:cNvSpPr>
      </xdr:nvSpPr>
      <xdr:spPr>
        <a:xfrm rot="16200000">
          <a:off x="2524125" y="3962400"/>
          <a:ext cx="2952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19</xdr:row>
      <xdr:rowOff>114300</xdr:rowOff>
    </xdr:from>
    <xdr:to>
      <xdr:col>3</xdr:col>
      <xdr:colOff>133350</xdr:colOff>
      <xdr:row>21</xdr:row>
      <xdr:rowOff>38100</xdr:rowOff>
    </xdr:to>
    <xdr:sp>
      <xdr:nvSpPr>
        <xdr:cNvPr id="18" name="Line 22"/>
        <xdr:cNvSpPr>
          <a:spLocks/>
        </xdr:cNvSpPr>
      </xdr:nvSpPr>
      <xdr:spPr>
        <a:xfrm flipH="1" flipV="1">
          <a:off x="1838325" y="3419475"/>
          <a:ext cx="447675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20</xdr:row>
      <xdr:rowOff>57150</xdr:rowOff>
    </xdr:from>
    <xdr:to>
      <xdr:col>2</xdr:col>
      <xdr:colOff>676275</xdr:colOff>
      <xdr:row>25</xdr:row>
      <xdr:rowOff>47625</xdr:rowOff>
    </xdr:to>
    <xdr:sp>
      <xdr:nvSpPr>
        <xdr:cNvPr id="19" name="Line 23"/>
        <xdr:cNvSpPr>
          <a:spLocks/>
        </xdr:cNvSpPr>
      </xdr:nvSpPr>
      <xdr:spPr>
        <a:xfrm flipV="1">
          <a:off x="2057400" y="3533775"/>
          <a:ext cx="85725" cy="847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20</xdr:row>
      <xdr:rowOff>66675</xdr:rowOff>
    </xdr:from>
    <xdr:to>
      <xdr:col>2</xdr:col>
      <xdr:colOff>666750</xdr:colOff>
      <xdr:row>22</xdr:row>
      <xdr:rowOff>47625</xdr:rowOff>
    </xdr:to>
    <xdr:sp>
      <xdr:nvSpPr>
        <xdr:cNvPr id="20" name="Line 24"/>
        <xdr:cNvSpPr>
          <a:spLocks/>
        </xdr:cNvSpPr>
      </xdr:nvSpPr>
      <xdr:spPr>
        <a:xfrm rot="16200000">
          <a:off x="1943100" y="3543300"/>
          <a:ext cx="190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20</xdr:row>
      <xdr:rowOff>0</xdr:rowOff>
    </xdr:from>
    <xdr:to>
      <xdr:col>2</xdr:col>
      <xdr:colOff>638175</xdr:colOff>
      <xdr:row>22</xdr:row>
      <xdr:rowOff>38100</xdr:rowOff>
    </xdr:to>
    <xdr:sp>
      <xdr:nvSpPr>
        <xdr:cNvPr id="21" name="Arc 25"/>
        <xdr:cNvSpPr>
          <a:spLocks/>
        </xdr:cNvSpPr>
      </xdr:nvSpPr>
      <xdr:spPr>
        <a:xfrm>
          <a:off x="1971675" y="3476625"/>
          <a:ext cx="133350" cy="381000"/>
        </a:xfrm>
        <a:prstGeom prst="arc">
          <a:avLst>
            <a:gd name="adj1" fmla="val 26555412"/>
            <a:gd name="adj2" fmla="val 32820212"/>
            <a:gd name="adj3" fmla="val -18541"/>
            <a:gd name="adj4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485775</xdr:colOff>
      <xdr:row>21</xdr:row>
      <xdr:rowOff>161925</xdr:rowOff>
    </xdr:from>
    <xdr:ext cx="190500" cy="228600"/>
    <xdr:sp>
      <xdr:nvSpPr>
        <xdr:cNvPr id="22" name="TextBox 26"/>
        <xdr:cNvSpPr txBox="1">
          <a:spLocks noChangeArrowheads="1"/>
        </xdr:cNvSpPr>
      </xdr:nvSpPr>
      <xdr:spPr>
        <a:xfrm>
          <a:off x="1952625" y="38100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f</a:t>
          </a:r>
        </a:p>
      </xdr:txBody>
    </xdr:sp>
    <xdr:clientData/>
  </xdr:oneCellAnchor>
  <xdr:oneCellAnchor>
    <xdr:from>
      <xdr:col>3</xdr:col>
      <xdr:colOff>219075</xdr:colOff>
      <xdr:row>21</xdr:row>
      <xdr:rowOff>66675</xdr:rowOff>
    </xdr:from>
    <xdr:ext cx="190500" cy="228600"/>
    <xdr:sp>
      <xdr:nvSpPr>
        <xdr:cNvPr id="23" name="TextBox 27"/>
        <xdr:cNvSpPr txBox="1">
          <a:spLocks noChangeArrowheads="1"/>
        </xdr:cNvSpPr>
      </xdr:nvSpPr>
      <xdr:spPr>
        <a:xfrm>
          <a:off x="2371725" y="37147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w</a:t>
          </a:r>
        </a:p>
      </xdr:txBody>
    </xdr:sp>
    <xdr:clientData/>
  </xdr:oneCellAnchor>
  <xdr:oneCellAnchor>
    <xdr:from>
      <xdr:col>2</xdr:col>
      <xdr:colOff>238125</xdr:colOff>
      <xdr:row>22</xdr:row>
      <xdr:rowOff>161925</xdr:rowOff>
    </xdr:from>
    <xdr:ext cx="171450" cy="228600"/>
    <xdr:sp>
      <xdr:nvSpPr>
        <xdr:cNvPr id="24" name="TextBox 28"/>
        <xdr:cNvSpPr txBox="1">
          <a:spLocks noChangeArrowheads="1"/>
        </xdr:cNvSpPr>
      </xdr:nvSpPr>
      <xdr:spPr>
        <a:xfrm>
          <a:off x="1704975" y="398145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L</a:t>
          </a:r>
        </a:p>
      </xdr:txBody>
    </xdr:sp>
    <xdr:clientData/>
  </xdr:oneCellAnchor>
  <xdr:oneCellAnchor>
    <xdr:from>
      <xdr:col>2</xdr:col>
      <xdr:colOff>352425</xdr:colOff>
      <xdr:row>14</xdr:row>
      <xdr:rowOff>66675</xdr:rowOff>
    </xdr:from>
    <xdr:ext cx="180975" cy="228600"/>
    <xdr:sp>
      <xdr:nvSpPr>
        <xdr:cNvPr id="25" name="TextBox 29"/>
        <xdr:cNvSpPr txBox="1">
          <a:spLocks noChangeArrowheads="1"/>
        </xdr:cNvSpPr>
      </xdr:nvSpPr>
      <xdr:spPr>
        <a:xfrm>
          <a:off x="1819275" y="25146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V</a:t>
          </a:r>
        </a:p>
      </xdr:txBody>
    </xdr:sp>
    <xdr:clientData/>
  </xdr:oneCellAnchor>
  <xdr:oneCellAnchor>
    <xdr:from>
      <xdr:col>2</xdr:col>
      <xdr:colOff>447675</xdr:colOff>
      <xdr:row>16</xdr:row>
      <xdr:rowOff>76200</xdr:rowOff>
    </xdr:from>
    <xdr:ext cx="200025" cy="228600"/>
    <xdr:sp>
      <xdr:nvSpPr>
        <xdr:cNvPr id="26" name="TextBox 30"/>
        <xdr:cNvSpPr txBox="1">
          <a:spLocks noChangeArrowheads="1"/>
        </xdr:cNvSpPr>
      </xdr:nvSpPr>
      <xdr:spPr>
        <a:xfrm>
          <a:off x="1914525" y="2867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H</a:t>
          </a:r>
        </a:p>
      </xdr:txBody>
    </xdr:sp>
    <xdr:clientData/>
  </xdr:oneCellAnchor>
  <xdr:oneCellAnchor>
    <xdr:from>
      <xdr:col>2</xdr:col>
      <xdr:colOff>266700</xdr:colOff>
      <xdr:row>12</xdr:row>
      <xdr:rowOff>28575</xdr:rowOff>
    </xdr:from>
    <xdr:ext cx="180975" cy="228600"/>
    <xdr:sp>
      <xdr:nvSpPr>
        <xdr:cNvPr id="27" name="TextBox 31"/>
        <xdr:cNvSpPr txBox="1">
          <a:spLocks noChangeArrowheads="1"/>
        </xdr:cNvSpPr>
      </xdr:nvSpPr>
      <xdr:spPr>
        <a:xfrm>
          <a:off x="1733550" y="21336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B</a:t>
          </a:r>
        </a:p>
      </xdr:txBody>
    </xdr:sp>
    <xdr:clientData/>
  </xdr:oneCellAnchor>
  <xdr:oneCellAnchor>
    <xdr:from>
      <xdr:col>3</xdr:col>
      <xdr:colOff>219075</xdr:colOff>
      <xdr:row>12</xdr:row>
      <xdr:rowOff>28575</xdr:rowOff>
    </xdr:from>
    <xdr:ext cx="171450" cy="228600"/>
    <xdr:sp>
      <xdr:nvSpPr>
        <xdr:cNvPr id="28" name="TextBox 32"/>
        <xdr:cNvSpPr txBox="1">
          <a:spLocks noChangeArrowheads="1"/>
        </xdr:cNvSpPr>
      </xdr:nvSpPr>
      <xdr:spPr>
        <a:xfrm>
          <a:off x="2371725" y="21336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S</a:t>
          </a:r>
        </a:p>
      </xdr:txBody>
    </xdr:sp>
    <xdr:clientData/>
  </xdr:oneCellAnchor>
  <xdr:oneCellAnchor>
    <xdr:from>
      <xdr:col>3</xdr:col>
      <xdr:colOff>219075</xdr:colOff>
      <xdr:row>19</xdr:row>
      <xdr:rowOff>9525</xdr:rowOff>
    </xdr:from>
    <xdr:ext cx="209550" cy="228600"/>
    <xdr:sp>
      <xdr:nvSpPr>
        <xdr:cNvPr id="29" name="TextBox 33"/>
        <xdr:cNvSpPr txBox="1">
          <a:spLocks noChangeArrowheads="1"/>
        </xdr:cNvSpPr>
      </xdr:nvSpPr>
      <xdr:spPr>
        <a:xfrm>
          <a:off x="2371725" y="331470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W</a:t>
          </a:r>
        </a:p>
      </xdr:txBody>
    </xdr:sp>
    <xdr:clientData/>
  </xdr:oneCellAnchor>
  <xdr:oneCellAnchor>
    <xdr:from>
      <xdr:col>2</xdr:col>
      <xdr:colOff>142875</xdr:colOff>
      <xdr:row>19</xdr:row>
      <xdr:rowOff>9525</xdr:rowOff>
    </xdr:from>
    <xdr:ext cx="238125" cy="228600"/>
    <xdr:sp>
      <xdr:nvSpPr>
        <xdr:cNvPr id="30" name="TextBox 34"/>
        <xdr:cNvSpPr txBox="1">
          <a:spLocks noChangeArrowheads="1"/>
        </xdr:cNvSpPr>
      </xdr:nvSpPr>
      <xdr:spPr>
        <a:xfrm>
          <a:off x="1609725" y="33147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cL</a:t>
          </a:r>
        </a:p>
      </xdr:txBody>
    </xdr:sp>
    <xdr:clientData/>
  </xdr:oneCellAnchor>
  <xdr:twoCellAnchor>
    <xdr:from>
      <xdr:col>2</xdr:col>
      <xdr:colOff>104775</xdr:colOff>
      <xdr:row>38</xdr:row>
      <xdr:rowOff>0</xdr:rowOff>
    </xdr:from>
    <xdr:to>
      <xdr:col>3</xdr:col>
      <xdr:colOff>561975</xdr:colOff>
      <xdr:row>38</xdr:row>
      <xdr:rowOff>0</xdr:rowOff>
    </xdr:to>
    <xdr:sp>
      <xdr:nvSpPr>
        <xdr:cNvPr id="31" name="Line 36"/>
        <xdr:cNvSpPr>
          <a:spLocks/>
        </xdr:cNvSpPr>
      </xdr:nvSpPr>
      <xdr:spPr>
        <a:xfrm>
          <a:off x="1571625" y="65627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40</xdr:row>
      <xdr:rowOff>0</xdr:rowOff>
    </xdr:from>
    <xdr:to>
      <xdr:col>5</xdr:col>
      <xdr:colOff>561975</xdr:colOff>
      <xdr:row>40</xdr:row>
      <xdr:rowOff>0</xdr:rowOff>
    </xdr:to>
    <xdr:sp>
      <xdr:nvSpPr>
        <xdr:cNvPr id="32" name="Line 37"/>
        <xdr:cNvSpPr>
          <a:spLocks/>
        </xdr:cNvSpPr>
      </xdr:nvSpPr>
      <xdr:spPr>
        <a:xfrm>
          <a:off x="1600200" y="690562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25</xdr:row>
      <xdr:rowOff>47625</xdr:rowOff>
    </xdr:from>
    <xdr:ext cx="180975" cy="228600"/>
    <xdr:sp>
      <xdr:nvSpPr>
        <xdr:cNvPr id="33" name="TextBox 38"/>
        <xdr:cNvSpPr txBox="1">
          <a:spLocks noChangeArrowheads="1"/>
        </xdr:cNvSpPr>
      </xdr:nvSpPr>
      <xdr:spPr>
        <a:xfrm>
          <a:off x="1933575" y="43815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1" u="none" baseline="0"/>
            <a:t>R</a:t>
          </a:r>
        </a:p>
      </xdr:txBody>
    </xdr:sp>
    <xdr:clientData/>
  </xdr:oneCellAnchor>
  <xdr:twoCellAnchor editAs="oneCell">
    <xdr:from>
      <xdr:col>8</xdr:col>
      <xdr:colOff>0</xdr:colOff>
      <xdr:row>18</xdr:row>
      <xdr:rowOff>0</xdr:rowOff>
    </xdr:from>
    <xdr:to>
      <xdr:col>9</xdr:col>
      <xdr:colOff>571500</xdr:colOff>
      <xdr:row>20</xdr:row>
      <xdr:rowOff>85725</xdr:rowOff>
    </xdr:to>
    <xdr:pic>
      <xdr:nvPicPr>
        <xdr:cNvPr id="34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3133725"/>
          <a:ext cx="1257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11</xdr:col>
      <xdr:colOff>76200</xdr:colOff>
      <xdr:row>24</xdr:row>
      <xdr:rowOff>76200</xdr:rowOff>
    </xdr:to>
    <xdr:pic>
      <xdr:nvPicPr>
        <xdr:cNvPr id="35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3819525"/>
          <a:ext cx="2133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10</xdr:col>
      <xdr:colOff>438150</xdr:colOff>
      <xdr:row>28</xdr:row>
      <xdr:rowOff>85725</xdr:rowOff>
    </xdr:to>
    <xdr:pic>
      <xdr:nvPicPr>
        <xdr:cNvPr id="36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4505325"/>
          <a:ext cx="1809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609600</xdr:colOff>
      <xdr:row>32</xdr:row>
      <xdr:rowOff>47625</xdr:rowOff>
    </xdr:to>
    <xdr:pic>
      <xdr:nvPicPr>
        <xdr:cNvPr id="37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5191125"/>
          <a:ext cx="609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33</xdr:row>
      <xdr:rowOff>9525</xdr:rowOff>
    </xdr:from>
    <xdr:to>
      <xdr:col>8</xdr:col>
      <xdr:colOff>542925</xdr:colOff>
      <xdr:row>35</xdr:row>
      <xdr:rowOff>47625</xdr:rowOff>
    </xdr:to>
    <xdr:pic>
      <xdr:nvPicPr>
        <xdr:cNvPr id="38" name="Picture 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05475" y="57150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304800</xdr:colOff>
      <xdr:row>24</xdr:row>
      <xdr:rowOff>57150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24850" y="3819525"/>
          <a:ext cx="990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14</xdr:col>
      <xdr:colOff>209550</xdr:colOff>
      <xdr:row>28</xdr:row>
      <xdr:rowOff>47625</xdr:rowOff>
    </xdr:to>
    <xdr:pic>
      <xdr:nvPicPr>
        <xdr:cNvPr id="40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24850" y="4505325"/>
          <a:ext cx="1581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14</xdr:col>
      <xdr:colOff>361950</xdr:colOff>
      <xdr:row>31</xdr:row>
      <xdr:rowOff>57150</xdr:rowOff>
    </xdr:to>
    <xdr:pic>
      <xdr:nvPicPr>
        <xdr:cNvPr id="41" name="Picture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24850" y="5191125"/>
          <a:ext cx="1733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 topLeftCell="B1">
      <selection activeCell="O14" sqref="O14"/>
    </sheetView>
  </sheetViews>
  <sheetFormatPr defaultColWidth="9.00390625" defaultRowHeight="13.5"/>
  <cols>
    <col min="1" max="1" width="10.25390625" style="0" customWidth="1"/>
  </cols>
  <sheetData>
    <row r="1" spans="1:10" ht="17.25">
      <c r="A1" s="18" t="s">
        <v>49</v>
      </c>
      <c r="J1" s="17" t="s">
        <v>48</v>
      </c>
    </row>
    <row r="3" ht="13.5">
      <c r="A3" t="s">
        <v>31</v>
      </c>
    </row>
    <row r="4" spans="1:10" ht="13.5">
      <c r="A4" t="s">
        <v>22</v>
      </c>
      <c r="B4" s="1" t="s">
        <v>0</v>
      </c>
      <c r="C4" s="1">
        <v>150</v>
      </c>
      <c r="D4" t="s">
        <v>11</v>
      </c>
      <c r="J4" t="s">
        <v>47</v>
      </c>
    </row>
    <row r="5" spans="1:4" ht="13.5">
      <c r="A5" t="s">
        <v>23</v>
      </c>
      <c r="B5" s="1" t="s">
        <v>1</v>
      </c>
      <c r="C5" s="1">
        <v>15</v>
      </c>
      <c r="D5" t="s">
        <v>11</v>
      </c>
    </row>
    <row r="6" spans="1:4" ht="13.5">
      <c r="A6" t="s">
        <v>24</v>
      </c>
      <c r="B6" s="1" t="s">
        <v>2</v>
      </c>
      <c r="C6" s="1">
        <v>1.25</v>
      </c>
      <c r="D6" t="s">
        <v>10</v>
      </c>
    </row>
    <row r="7" spans="1:11" ht="13.5">
      <c r="A7" t="s">
        <v>25</v>
      </c>
      <c r="B7" s="1" t="s">
        <v>3</v>
      </c>
      <c r="C7" s="1">
        <v>1.28</v>
      </c>
      <c r="D7" t="s">
        <v>10</v>
      </c>
      <c r="I7" t="s">
        <v>55</v>
      </c>
      <c r="K7">
        <f>C5/C4</f>
        <v>0.1</v>
      </c>
    </row>
    <row r="8" spans="1:14" ht="13.5">
      <c r="A8" t="s">
        <v>26</v>
      </c>
      <c r="B8" s="1" t="s">
        <v>4</v>
      </c>
      <c r="C8" s="1">
        <v>19</v>
      </c>
      <c r="D8" t="s">
        <v>9</v>
      </c>
      <c r="I8" t="s">
        <v>53</v>
      </c>
      <c r="J8">
        <f>C7/C6</f>
        <v>1.024</v>
      </c>
      <c r="N8" t="s">
        <v>58</v>
      </c>
    </row>
    <row r="9" spans="1:21" ht="13.5">
      <c r="A9" t="s">
        <v>27</v>
      </c>
      <c r="B9" s="1" t="s">
        <v>5</v>
      </c>
      <c r="C9" s="1">
        <v>35</v>
      </c>
      <c r="D9" t="s">
        <v>7</v>
      </c>
      <c r="I9" t="s">
        <v>54</v>
      </c>
      <c r="L9">
        <f>SIN(U30-T9)+K7*COS(U30-T9)</f>
        <v>0.5624267059206214</v>
      </c>
      <c r="S9" t="s">
        <v>5</v>
      </c>
      <c r="T9">
        <f>C9*PI()/180</f>
        <v>0.6108652381980153</v>
      </c>
      <c r="U9" t="s">
        <v>12</v>
      </c>
    </row>
    <row r="10" spans="1:4" ht="13.5">
      <c r="A10" t="s">
        <v>28</v>
      </c>
      <c r="B10" s="1" t="s">
        <v>6</v>
      </c>
      <c r="C10" s="1">
        <v>70</v>
      </c>
      <c r="D10" t="s">
        <v>8</v>
      </c>
    </row>
    <row r="11" spans="9:21" ht="13.5">
      <c r="I11" t="s">
        <v>52</v>
      </c>
      <c r="J11">
        <f>(1+J8)*COS(T9)/COS(U30)/L9</f>
        <v>6.565319411625115</v>
      </c>
      <c r="L11">
        <v>6.9</v>
      </c>
      <c r="S11" t="s">
        <v>29</v>
      </c>
      <c r="T11">
        <f>T29*PI()/180</f>
        <v>1.5707963267948966</v>
      </c>
      <c r="U11" t="s">
        <v>12</v>
      </c>
    </row>
    <row r="12" spans="2:12" ht="13.5">
      <c r="B12" s="1"/>
      <c r="I12" t="s">
        <v>57</v>
      </c>
      <c r="J12">
        <f>-TAN(U30)*(1+J8)^2*SIN(U30-T9)/L9</f>
        <v>-6.876234576971291</v>
      </c>
      <c r="L12">
        <v>-8.52</v>
      </c>
    </row>
    <row r="13" ht="13.5">
      <c r="B13" s="1"/>
    </row>
    <row r="14" spans="2:12" ht="13.5">
      <c r="B14" s="1"/>
      <c r="I14" t="s">
        <v>56</v>
      </c>
      <c r="J14">
        <f>$C$6*($C$10*J11+0.5*$C$8*$C$6*J12)</f>
        <v>472.3963415152799</v>
      </c>
      <c r="L14">
        <f>$C$6*($C$10*L11+0.5*$C$8*$C$6*L12)</f>
        <v>477.28125</v>
      </c>
    </row>
    <row r="15" ht="13.5">
      <c r="B15" s="1"/>
    </row>
    <row r="16" ht="13.5">
      <c r="B16" s="1"/>
    </row>
    <row r="17" ht="13.5">
      <c r="B17" s="1"/>
    </row>
    <row r="18" ht="13.5">
      <c r="B18" s="1"/>
    </row>
    <row r="19" ht="13.5">
      <c r="B19" s="1"/>
    </row>
    <row r="20" ht="13.5">
      <c r="B20" s="1"/>
    </row>
    <row r="21" ht="13.5">
      <c r="B21" s="1"/>
    </row>
    <row r="22" ht="13.5">
      <c r="B22" s="1"/>
    </row>
    <row r="23" ht="13.5">
      <c r="B23" s="1"/>
    </row>
    <row r="24" ht="13.5">
      <c r="B24" s="1"/>
    </row>
    <row r="25" ht="13.5">
      <c r="B25" s="1"/>
    </row>
    <row r="26" ht="13.5">
      <c r="B26" s="1"/>
    </row>
    <row r="28" ht="13.5">
      <c r="A28" t="s">
        <v>44</v>
      </c>
    </row>
    <row r="29" spans="2:21" ht="13.5">
      <c r="B29" t="str">
        <f>R29&amp;S29&amp;T29&amp;U29</f>
        <v>斜面角β=90度</v>
      </c>
      <c r="R29" t="s">
        <v>30</v>
      </c>
      <c r="S29" s="1" t="s">
        <v>21</v>
      </c>
      <c r="T29" s="1">
        <v>90</v>
      </c>
      <c r="U29" t="s">
        <v>7</v>
      </c>
    </row>
    <row r="30" spans="2:22" ht="13.5">
      <c r="B30" t="str">
        <f>"すべり面の角度  "&amp;R30&amp;S30&amp;T30</f>
        <v>すべり面の角度  ω=63.32度</v>
      </c>
      <c r="R30" t="s">
        <v>32</v>
      </c>
      <c r="S30" s="10">
        <f>ROUND(B65,2)</f>
        <v>63.32</v>
      </c>
      <c r="T30" t="s">
        <v>33</v>
      </c>
      <c r="U30">
        <f>S30*PI()/180</f>
        <v>1.1051424823628095</v>
      </c>
      <c r="V30" t="s">
        <v>12</v>
      </c>
    </row>
    <row r="31" spans="2:19" ht="13.5">
      <c r="B31" t="str">
        <f>"荷重の傾斜　tanθ=H/V="&amp;C5&amp;"/"&amp;C4&amp;"="&amp;S31</f>
        <v>荷重の傾斜　tanθ=H/V=15/150=0.1</v>
      </c>
      <c r="R31" t="s">
        <v>15</v>
      </c>
      <c r="S31">
        <f>ROUND(C5/C4,3)</f>
        <v>0.1</v>
      </c>
    </row>
    <row r="32" spans="2:21" ht="13.5">
      <c r="B32" t="str">
        <f>"すべり面の長さ  "&amp;R32&amp;S32&amp;T32&amp;U32</f>
        <v>すべり面の長さ  L=(B+S)secω=5.635m</v>
      </c>
      <c r="R32" t="s">
        <v>34</v>
      </c>
      <c r="S32" t="s">
        <v>35</v>
      </c>
      <c r="T32">
        <f>ROUND((C6+C7)/COS(U30),3)</f>
        <v>5.635</v>
      </c>
      <c r="U32" t="s">
        <v>13</v>
      </c>
    </row>
    <row r="33" spans="2:20" ht="13.5">
      <c r="B33" s="4" t="str">
        <f>"土塊重量 W=1/2×γ×tanω×(B+S)^2"</f>
        <v>土塊重量 W=1/2×γ×tanω×(B+S)^2</v>
      </c>
      <c r="R33" t="s">
        <v>36</v>
      </c>
      <c r="S33">
        <f>ROUND(0.5*C8*(C6+C7)^2*TAN(U30),3)</f>
        <v>121.01</v>
      </c>
      <c r="T33" t="s">
        <v>14</v>
      </c>
    </row>
    <row r="34" ht="13.5">
      <c r="C34" t="str">
        <f>"=1/2×"&amp;C8&amp;"×tan"&amp;S30&amp;"×("&amp;C6&amp;"+"&amp;C7&amp;")="&amp;S33&amp;T33</f>
        <v>=1/2×19×tan63.32×(1.25+1.28)=121.01kN/m</v>
      </c>
    </row>
    <row r="35" ht="13.5">
      <c r="B35" t="s">
        <v>39</v>
      </c>
    </row>
    <row r="36" spans="3:22" ht="13.5">
      <c r="C36" t="str">
        <f>"Ω=ω-φ="&amp;S30&amp;"-"&amp;C9&amp;"="&amp;S36&amp;T36</f>
        <v>Ω=ω-φ=63.32-35=28.32度</v>
      </c>
      <c r="R36" t="s">
        <v>40</v>
      </c>
      <c r="S36">
        <f>S30-C9</f>
        <v>28.32</v>
      </c>
      <c r="T36" t="s">
        <v>33</v>
      </c>
      <c r="U36">
        <f>S36*PI()/180</f>
        <v>0.49427724416479407</v>
      </c>
      <c r="V36" t="s">
        <v>12</v>
      </c>
    </row>
    <row r="37" ht="13.5">
      <c r="B37" t="s">
        <v>37</v>
      </c>
    </row>
    <row r="38" spans="2:4" ht="13.5">
      <c r="B38" s="23" t="s">
        <v>38</v>
      </c>
      <c r="C38" s="24" t="s">
        <v>41</v>
      </c>
      <c r="D38" s="24"/>
    </row>
    <row r="39" spans="2:4" ht="13.5">
      <c r="B39" s="23"/>
      <c r="C39" s="24" t="s">
        <v>42</v>
      </c>
      <c r="D39" s="24"/>
    </row>
    <row r="40" spans="2:20" ht="13.5">
      <c r="B40" s="23" t="s">
        <v>43</v>
      </c>
      <c r="C40" s="25" t="str">
        <f>C10&amp;"×"&amp;T32&amp;"×cos"&amp;S36&amp;"-"&amp;S33&amp;"×sin"&amp;S36</f>
        <v>70×5.635×cos28.32-121.01×sin28.32</v>
      </c>
      <c r="D40" s="25"/>
      <c r="E40" s="25"/>
      <c r="F40" s="25"/>
      <c r="G40" s="22" t="str">
        <f>"="&amp;S40&amp;T40</f>
        <v>=472.43kN/m</v>
      </c>
      <c r="H40" s="22"/>
      <c r="I40" s="2"/>
      <c r="J40" s="2"/>
      <c r="K40" s="2"/>
      <c r="L40" s="2"/>
      <c r="M40" s="2"/>
      <c r="N40" s="2"/>
      <c r="O40" s="2"/>
      <c r="P40" s="2"/>
      <c r="R40" t="s">
        <v>38</v>
      </c>
      <c r="S40">
        <f>ROUND(($C$10*T32*COS($T$9)-S33*SIN(U30-$T$9))/(SIN(U30-$T$9)+$S$44*COS(U30-$T$9)),2)</f>
        <v>472.43</v>
      </c>
      <c r="T40" t="s">
        <v>14</v>
      </c>
    </row>
    <row r="41" spans="2:16" ht="13.5">
      <c r="B41" s="23"/>
      <c r="C41" s="25" t="str">
        <f>"sin"&amp;S36&amp;"+"&amp;S31&amp;"×cos"&amp;S36</f>
        <v>sin28.32+0.1×cos28.32</v>
      </c>
      <c r="D41" s="25"/>
      <c r="E41" s="25"/>
      <c r="F41" s="25"/>
      <c r="G41" s="22"/>
      <c r="H41" s="22"/>
      <c r="I41" s="2"/>
      <c r="J41" s="2"/>
      <c r="K41" s="2"/>
      <c r="L41" s="2"/>
      <c r="M41" s="2"/>
      <c r="N41" s="2"/>
      <c r="O41" s="2"/>
      <c r="P41" s="2"/>
    </row>
    <row r="42" spans="2:16" ht="13.5">
      <c r="B42" s="4" t="s">
        <v>50</v>
      </c>
      <c r="C42" s="5"/>
      <c r="D42" s="5"/>
      <c r="E42" s="5"/>
      <c r="F42" s="5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9" ht="13.5">
      <c r="B43" s="3"/>
      <c r="C43" s="21" t="str">
        <f>"Fs=Qu/V="&amp;S40&amp;"/"&amp;C4&amp;"="&amp;S43</f>
        <v>Fs=Qu/V=472.43/150=3.15</v>
      </c>
      <c r="D43" s="5"/>
      <c r="E43" s="5"/>
      <c r="F43" s="5"/>
      <c r="G43" s="2"/>
      <c r="H43" s="2"/>
      <c r="I43" s="2"/>
      <c r="J43" s="2"/>
      <c r="K43" s="2"/>
      <c r="L43" s="2"/>
      <c r="M43" s="2"/>
      <c r="N43" s="2"/>
      <c r="O43" s="2"/>
      <c r="P43" s="2"/>
      <c r="R43" t="s">
        <v>51</v>
      </c>
      <c r="S43">
        <f>ROUND(S40/C4,2)</f>
        <v>3.15</v>
      </c>
    </row>
    <row r="44" spans="18:19" ht="13.5">
      <c r="R44" t="s">
        <v>15</v>
      </c>
      <c r="S44">
        <f>C5/C4</f>
        <v>0.1</v>
      </c>
    </row>
    <row r="45" ht="13.5">
      <c r="B45" t="s">
        <v>46</v>
      </c>
    </row>
    <row r="46" spans="2:6" ht="13.5">
      <c r="B46" s="7" t="s">
        <v>16</v>
      </c>
      <c r="C46" s="7" t="s">
        <v>18</v>
      </c>
      <c r="D46" s="7" t="s">
        <v>19</v>
      </c>
      <c r="E46" s="7" t="s">
        <v>20</v>
      </c>
      <c r="F46" s="7" t="s">
        <v>17</v>
      </c>
    </row>
    <row r="47" spans="2:6" ht="13.5">
      <c r="B47" s="8">
        <f>ROUND(B65-18,0)</f>
        <v>45</v>
      </c>
      <c r="C47" s="9">
        <f>B47*PI()/180</f>
        <v>0.7853981633974483</v>
      </c>
      <c r="D47" s="9">
        <f aca="true" t="shared" si="0" ref="D47:D82">SIN($T$11)/SIN($T$11-C47)*($C$6+$C$7)</f>
        <v>3.5779603128039312</v>
      </c>
      <c r="E47" s="9">
        <f aca="true" t="shared" si="1" ref="E47:E82">0.5*$C$8*($C$6+$C$7)^2*SIN($T$11)*SIN(C47)/SIN($T$11-C47)</f>
        <v>60.80855000000001</v>
      </c>
      <c r="F47" s="19">
        <f aca="true" t="shared" si="2" ref="F47:F82">($C$10*D47*COS($T$9)-E47*SIN(C47-$T$9))/(SIN(C47-$T$9)+$S$44*COS(C47-$T$9))</f>
        <v>715.1141005271226</v>
      </c>
    </row>
    <row r="48" spans="2:6" ht="13.5">
      <c r="B48" s="8">
        <f>B47+1</f>
        <v>46</v>
      </c>
      <c r="C48" s="9">
        <f>B48*PI()/180</f>
        <v>0.8028514559173915</v>
      </c>
      <c r="D48" s="9">
        <f t="shared" si="0"/>
        <v>3.6420780452530876</v>
      </c>
      <c r="E48" s="9">
        <f t="shared" si="1"/>
        <v>62.969096862649536</v>
      </c>
      <c r="F48" s="19">
        <f t="shared" si="2"/>
        <v>681.1186627550965</v>
      </c>
    </row>
    <row r="49" spans="2:6" ht="13.5">
      <c r="B49" s="8">
        <f aca="true" t="shared" si="3" ref="B49:B64">B48+1</f>
        <v>47</v>
      </c>
      <c r="C49" s="9">
        <f aca="true" t="shared" si="4" ref="C49:C82">B49*PI()/180</f>
        <v>0.8203047484373349</v>
      </c>
      <c r="D49" s="9">
        <f t="shared" si="0"/>
        <v>3.7096863396682513</v>
      </c>
      <c r="E49" s="9">
        <f t="shared" si="1"/>
        <v>65.20918632197142</v>
      </c>
      <c r="F49" s="19">
        <f t="shared" si="2"/>
        <v>651.4256376939283</v>
      </c>
    </row>
    <row r="50" spans="2:6" ht="13.5">
      <c r="B50" s="8">
        <f t="shared" si="3"/>
        <v>48</v>
      </c>
      <c r="C50" s="9">
        <f t="shared" si="4"/>
        <v>0.8377580409572781</v>
      </c>
      <c r="D50" s="9">
        <f t="shared" si="0"/>
        <v>3.7810256711574604</v>
      </c>
      <c r="E50" s="9">
        <f t="shared" si="1"/>
        <v>67.5347366386167</v>
      </c>
      <c r="F50" s="19">
        <f t="shared" si="2"/>
        <v>625.3781012753684</v>
      </c>
    </row>
    <row r="51" spans="2:6" ht="13.5">
      <c r="B51" s="8">
        <f t="shared" si="3"/>
        <v>49</v>
      </c>
      <c r="C51" s="9">
        <f t="shared" si="4"/>
        <v>0.8552113334772214</v>
      </c>
      <c r="D51" s="9">
        <f t="shared" si="0"/>
        <v>3.8563603093657104</v>
      </c>
      <c r="E51" s="9">
        <f t="shared" si="1"/>
        <v>69.95223480891913</v>
      </c>
      <c r="F51" s="19">
        <f t="shared" si="2"/>
        <v>602.4555786314052</v>
      </c>
    </row>
    <row r="52" spans="2:6" ht="13.5">
      <c r="B52" s="8">
        <f t="shared" si="3"/>
        <v>50</v>
      </c>
      <c r="C52" s="9">
        <f t="shared" si="4"/>
        <v>0.8726646259971648</v>
      </c>
      <c r="D52" s="9">
        <f t="shared" si="0"/>
        <v>3.935981281956844</v>
      </c>
      <c r="E52" s="9">
        <f t="shared" si="1"/>
        <v>72.46880792294468</v>
      </c>
      <c r="F52" s="19">
        <f t="shared" si="2"/>
        <v>582.2414747440686</v>
      </c>
    </row>
    <row r="53" spans="2:6" ht="13.5">
      <c r="B53" s="8">
        <f t="shared" si="3"/>
        <v>51</v>
      </c>
      <c r="C53" s="9">
        <f t="shared" si="4"/>
        <v>0.890117918517108</v>
      </c>
      <c r="D53" s="9">
        <f t="shared" si="0"/>
        <v>4.020209794536346</v>
      </c>
      <c r="E53" s="9">
        <f t="shared" si="1"/>
        <v>75.09230548801949</v>
      </c>
      <c r="F53" s="19">
        <f t="shared" si="2"/>
        <v>564.399560870751</v>
      </c>
    </row>
    <row r="54" spans="2:6" ht="13.5">
      <c r="B54" s="8">
        <f t="shared" si="3"/>
        <v>52</v>
      </c>
      <c r="C54" s="9">
        <f t="shared" si="4"/>
        <v>0.9075712110370514</v>
      </c>
      <c r="D54" s="9">
        <f t="shared" si="0"/>
        <v>4.109401191071344</v>
      </c>
      <c r="E54" s="9">
        <f t="shared" si="1"/>
        <v>77.83139473829448</v>
      </c>
      <c r="F54" s="19">
        <f t="shared" si="2"/>
        <v>548.6567351689946</v>
      </c>
    </row>
    <row r="55" spans="2:6" ht="13.5">
      <c r="B55" s="8">
        <f t="shared" si="3"/>
        <v>53</v>
      </c>
      <c r="C55" s="9">
        <f t="shared" si="4"/>
        <v>0.9250245035569946</v>
      </c>
      <c r="D55" s="9">
        <f t="shared" si="0"/>
        <v>4.203949557039883</v>
      </c>
      <c r="E55" s="9">
        <f t="shared" si="1"/>
        <v>80.6956713877458</v>
      </c>
      <c r="F55" s="19">
        <f t="shared" si="2"/>
        <v>534.7902164529905</v>
      </c>
    </row>
    <row r="56" spans="2:6" ht="13.5">
      <c r="B56" s="8">
        <f t="shared" si="3"/>
        <v>54</v>
      </c>
      <c r="C56" s="9">
        <f t="shared" si="4"/>
        <v>0.9424777960769379</v>
      </c>
      <c r="D56" s="9">
        <f t="shared" si="0"/>
        <v>4.304293090261322</v>
      </c>
      <c r="E56" s="9">
        <f t="shared" si="1"/>
        <v>83.6957888300674</v>
      </c>
      <c r="F56" s="19">
        <f t="shared" si="2"/>
        <v>522.6179284534688</v>
      </c>
    </row>
    <row r="57" spans="2:6" ht="13.5">
      <c r="B57" s="8">
        <f t="shared" si="3"/>
        <v>55</v>
      </c>
      <c r="C57" s="9">
        <f t="shared" si="4"/>
        <v>0.9599310885968813</v>
      </c>
      <c r="D57" s="9">
        <f t="shared" si="0"/>
        <v>4.410920392921379</v>
      </c>
      <c r="E57" s="9">
        <f t="shared" si="1"/>
        <v>86.84360947537823</v>
      </c>
      <c r="F57" s="19">
        <f t="shared" si="2"/>
        <v>511.9912215008158</v>
      </c>
    </row>
    <row r="58" spans="2:6" ht="13.5">
      <c r="B58" s="8">
        <f t="shared" si="3"/>
        <v>56</v>
      </c>
      <c r="C58" s="9">
        <f t="shared" si="4"/>
        <v>0.9773843811168246</v>
      </c>
      <c r="D58" s="9">
        <f t="shared" si="0"/>
        <v>4.524377874427644</v>
      </c>
      <c r="E58" s="9">
        <f t="shared" si="1"/>
        <v>90.15238278185542</v>
      </c>
      <c r="F58" s="19">
        <f t="shared" si="2"/>
        <v>502.789337581264</v>
      </c>
    </row>
    <row r="59" spans="2:6" ht="13.5">
      <c r="B59" s="8">
        <f t="shared" si="3"/>
        <v>57</v>
      </c>
      <c r="C59" s="9">
        <f>B59*PI()/180</f>
        <v>0.9948376736367678</v>
      </c>
      <c r="D59" s="9">
        <f t="shared" si="0"/>
        <v>4.645278500704959</v>
      </c>
      <c r="E59" s="9">
        <f t="shared" si="1"/>
        <v>93.63695564536727</v>
      </c>
      <c r="F59" s="19">
        <f t="shared" si="2"/>
        <v>494.9152005439896</v>
      </c>
    </row>
    <row r="60" spans="2:6" ht="13.5">
      <c r="B60" s="8">
        <f t="shared" si="3"/>
        <v>58</v>
      </c>
      <c r="C60" s="9">
        <f t="shared" si="4"/>
        <v>1.0122909661567112</v>
      </c>
      <c r="D60" s="9">
        <f t="shared" si="0"/>
        <v>4.774312184443643</v>
      </c>
      <c r="E60" s="9">
        <f t="shared" si="1"/>
        <v>97.31402222591919</v>
      </c>
      <c r="F60" s="19">
        <f t="shared" si="2"/>
        <v>488.2922351220682</v>
      </c>
    </row>
    <row r="61" spans="2:6" ht="13.5">
      <c r="B61" s="8">
        <f t="shared" si="3"/>
        <v>59</v>
      </c>
      <c r="C61" s="9">
        <f t="shared" si="4"/>
        <v>1.0297442586766543</v>
      </c>
      <c r="D61" s="9">
        <f t="shared" si="0"/>
        <v>4.912258186818201</v>
      </c>
      <c r="E61" s="9">
        <f t="shared" si="1"/>
        <v>101.20242211648558</v>
      </c>
      <c r="F61" s="19">
        <f t="shared" si="2"/>
        <v>482.8620048947542</v>
      </c>
    </row>
    <row r="62" spans="2:6" ht="13.5">
      <c r="B62" s="8">
        <f t="shared" si="3"/>
        <v>60</v>
      </c>
      <c r="C62" s="9">
        <f t="shared" si="4"/>
        <v>1.0471975511965976</v>
      </c>
      <c r="D62" s="9">
        <f t="shared" si="0"/>
        <v>5.0600000000000005</v>
      </c>
      <c r="E62" s="9">
        <f t="shared" si="1"/>
        <v>105.32349813459247</v>
      </c>
      <c r="F62" s="19">
        <f t="shared" si="2"/>
        <v>478.5825223801776</v>
      </c>
    </row>
    <row r="63" spans="2:6" ht="13.5">
      <c r="B63" s="8">
        <f t="shared" si="3"/>
        <v>61</v>
      </c>
      <c r="C63" s="9">
        <f t="shared" si="4"/>
        <v>1.064650843716541</v>
      </c>
      <c r="D63" s="9">
        <f t="shared" si="0"/>
        <v>5.218543309257106</v>
      </c>
      <c r="E63" s="9">
        <f t="shared" si="1"/>
        <v>109.70152812881015</v>
      </c>
      <c r="F63" s="19">
        <f t="shared" si="2"/>
        <v>475.42713213310014</v>
      </c>
    </row>
    <row r="64" spans="2:6" ht="13.5">
      <c r="B64" s="8">
        <f t="shared" si="3"/>
        <v>62</v>
      </c>
      <c r="C64" s="9">
        <f t="shared" si="4"/>
        <v>1.0821041362364843</v>
      </c>
      <c r="D64" s="9">
        <f t="shared" si="0"/>
        <v>5.389037804519467</v>
      </c>
      <c r="E64" s="9">
        <f t="shared" si="1"/>
        <v>114.3642493043357</v>
      </c>
      <c r="F64" s="19">
        <f t="shared" si="2"/>
        <v>473.3839056056009</v>
      </c>
    </row>
    <row r="65" spans="2:7" ht="13.5">
      <c r="B65" s="11">
        <v>63.32264375633903</v>
      </c>
      <c r="C65" s="12">
        <f t="shared" si="4"/>
        <v>1.105188624615546</v>
      </c>
      <c r="D65" s="12">
        <f t="shared" si="0"/>
        <v>5.635171898288264</v>
      </c>
      <c r="E65" s="12">
        <f t="shared" si="1"/>
        <v>121.02347424310248</v>
      </c>
      <c r="F65" s="11">
        <f t="shared" si="2"/>
        <v>472.3963375304354</v>
      </c>
      <c r="G65" s="13" t="s">
        <v>45</v>
      </c>
    </row>
    <row r="66" spans="2:6" ht="13.5">
      <c r="B66" s="8">
        <f>ROUND(B65+1,0)</f>
        <v>64</v>
      </c>
      <c r="C66" s="9">
        <f t="shared" si="4"/>
        <v>1.117010721276371</v>
      </c>
      <c r="D66" s="9">
        <f t="shared" si="0"/>
        <v>5.771365242743295</v>
      </c>
      <c r="E66" s="9">
        <f t="shared" si="1"/>
        <v>124.67600366586674</v>
      </c>
      <c r="F66" s="19">
        <f t="shared" si="2"/>
        <v>472.6596127902286</v>
      </c>
    </row>
    <row r="67" spans="2:6" ht="13.5">
      <c r="B67" s="8">
        <f>B66+1</f>
        <v>65</v>
      </c>
      <c r="C67" s="9">
        <f t="shared" si="4"/>
        <v>1.1344640137963142</v>
      </c>
      <c r="D67" s="9">
        <f t="shared" si="0"/>
        <v>5.986490005375823</v>
      </c>
      <c r="E67" s="9">
        <f t="shared" si="1"/>
        <v>130.40435630115155</v>
      </c>
      <c r="F67" s="19">
        <f t="shared" si="2"/>
        <v>474.02967005798547</v>
      </c>
    </row>
    <row r="68" spans="2:6" ht="13.5">
      <c r="B68" s="8">
        <f>B67+1</f>
        <v>66</v>
      </c>
      <c r="C68" s="9">
        <f t="shared" si="4"/>
        <v>1.1519173063162575</v>
      </c>
      <c r="D68" s="9">
        <f t="shared" si="0"/>
        <v>6.220241139002824</v>
      </c>
      <c r="E68" s="9">
        <f t="shared" si="1"/>
        <v>136.57823946779325</v>
      </c>
      <c r="F68" s="19">
        <f t="shared" si="2"/>
        <v>476.6164685578082</v>
      </c>
    </row>
    <row r="69" spans="2:6" ht="13.5">
      <c r="B69" s="8">
        <f>B68+1</f>
        <v>67</v>
      </c>
      <c r="C69" s="9">
        <f>B69*PI()/180</f>
        <v>1.1693705988362006</v>
      </c>
      <c r="D69" s="9">
        <f t="shared" si="0"/>
        <v>6.475040803076054</v>
      </c>
      <c r="E69" s="9">
        <f t="shared" si="1"/>
        <v>143.25596637981195</v>
      </c>
      <c r="F69" s="19">
        <f t="shared" si="2"/>
        <v>480.4902231960213</v>
      </c>
    </row>
    <row r="70" spans="2:6" ht="13.5">
      <c r="B70" s="8">
        <f aca="true" t="shared" si="5" ref="B70:B77">B69+1</f>
        <v>68</v>
      </c>
      <c r="C70" s="9">
        <f t="shared" si="4"/>
        <v>1.1868238913561442</v>
      </c>
      <c r="D70" s="9">
        <f t="shared" si="0"/>
        <v>6.753751921261659</v>
      </c>
      <c r="E70" s="9">
        <f t="shared" si="1"/>
        <v>150.50644268030757</v>
      </c>
      <c r="F70" s="19">
        <f t="shared" si="2"/>
        <v>485.74357317781846</v>
      </c>
    </row>
    <row r="71" spans="2:6" ht="13.5">
      <c r="B71" s="8">
        <f t="shared" si="5"/>
        <v>69</v>
      </c>
      <c r="C71" s="9">
        <f t="shared" si="4"/>
        <v>1.2042771838760873</v>
      </c>
      <c r="D71" s="9">
        <f t="shared" si="0"/>
        <v>7.059783117352099</v>
      </c>
      <c r="E71" s="9">
        <f t="shared" si="1"/>
        <v>158.41168864488628</v>
      </c>
      <c r="F71" s="19">
        <f t="shared" si="2"/>
        <v>492.49564952167566</v>
      </c>
    </row>
    <row r="72" spans="2:6" ht="13.5">
      <c r="B72" s="8">
        <f t="shared" si="5"/>
        <v>70</v>
      </c>
      <c r="C72" s="9">
        <f t="shared" si="4"/>
        <v>1.2217304763960306</v>
      </c>
      <c r="D72" s="9">
        <f t="shared" si="0"/>
        <v>7.39722513241261</v>
      </c>
      <c r="E72" s="9">
        <f t="shared" si="1"/>
        <v>167.07011803477735</v>
      </c>
      <c r="F72" s="19">
        <f t="shared" si="2"/>
        <v>500.8975597856746</v>
      </c>
    </row>
    <row r="73" spans="2:6" ht="13.5">
      <c r="B73" s="8">
        <f t="shared" si="5"/>
        <v>71</v>
      </c>
      <c r="C73" s="9">
        <f t="shared" si="4"/>
        <v>1.239183768915974</v>
      </c>
      <c r="D73" s="9">
        <f t="shared" si="0"/>
        <v>7.771030321495823</v>
      </c>
      <c r="E73" s="9">
        <f t="shared" si="1"/>
        <v>176.60085236569415</v>
      </c>
      <c r="F73" s="19">
        <f t="shared" si="2"/>
        <v>511.13977734852216</v>
      </c>
    </row>
    <row r="74" spans="2:6" ht="13.5">
      <c r="B74" s="8">
        <f t="shared" si="5"/>
        <v>72</v>
      </c>
      <c r="C74" s="9">
        <f t="shared" si="4"/>
        <v>1.2566370614359172</v>
      </c>
      <c r="D74" s="9">
        <f t="shared" si="0"/>
        <v>8.18725198307447</v>
      </c>
      <c r="E74" s="9">
        <f t="shared" si="1"/>
        <v>187.1494732544983</v>
      </c>
      <c r="F74" s="19">
        <f t="shared" si="2"/>
        <v>523.4621460634351</v>
      </c>
    </row>
    <row r="75" spans="2:6" ht="13.5">
      <c r="B75" s="8">
        <f t="shared" si="5"/>
        <v>73</v>
      </c>
      <c r="C75" s="9">
        <f t="shared" si="4"/>
        <v>1.2740903539558606</v>
      </c>
      <c r="D75" s="9">
        <f t="shared" si="0"/>
        <v>8.653368158178171</v>
      </c>
      <c r="E75" s="9">
        <f t="shared" si="1"/>
        <v>198.89580499372386</v>
      </c>
      <c r="F75" s="19">
        <f t="shared" si="2"/>
        <v>538.1675513893483</v>
      </c>
    </row>
    <row r="76" spans="2:6" ht="13.5">
      <c r="B76" s="8">
        <f t="shared" si="5"/>
        <v>74</v>
      </c>
      <c r="C76" s="9">
        <f t="shared" si="4"/>
        <v>1.2915436464758039</v>
      </c>
      <c r="D76" s="9">
        <f t="shared" si="0"/>
        <v>9.178726854714553</v>
      </c>
      <c r="E76" s="9">
        <f t="shared" si="1"/>
        <v>212.0646155790222</v>
      </c>
      <c r="F76" s="19">
        <f t="shared" si="2"/>
        <v>555.6408395642914</v>
      </c>
    </row>
    <row r="77" spans="2:6" ht="13.5">
      <c r="B77" s="8">
        <f t="shared" si="5"/>
        <v>75</v>
      </c>
      <c r="C77" s="9">
        <f t="shared" si="4"/>
        <v>1.3089969389957472</v>
      </c>
      <c r="D77" s="9">
        <f t="shared" si="0"/>
        <v>9.775169362045375</v>
      </c>
      <c r="E77" s="9">
        <f t="shared" si="1"/>
        <v>226.94059813459256</v>
      </c>
      <c r="F77" s="19">
        <f t="shared" si="2"/>
        <v>576.3754140916237</v>
      </c>
    </row>
    <row r="78" spans="2:6" ht="13.5">
      <c r="B78" s="8">
        <f>B77+1</f>
        <v>76</v>
      </c>
      <c r="C78" s="9">
        <f t="shared" si="4"/>
        <v>1.3264502315156903</v>
      </c>
      <c r="D78" s="9">
        <f t="shared" si="0"/>
        <v>10.457920700930032</v>
      </c>
      <c r="E78" s="9">
        <f t="shared" si="1"/>
        <v>243.88977293596102</v>
      </c>
      <c r="F78" s="19">
        <f t="shared" si="2"/>
        <v>601.0113306014956</v>
      </c>
    </row>
    <row r="79" spans="2:6" ht="13.5">
      <c r="B79" s="8">
        <f>B78+1</f>
        <v>77</v>
      </c>
      <c r="C79" s="9">
        <f t="shared" si="4"/>
        <v>1.3439035240356338</v>
      </c>
      <c r="D79" s="9">
        <f t="shared" si="0"/>
        <v>11.246891050942084</v>
      </c>
      <c r="E79" s="9">
        <f t="shared" si="1"/>
        <v>263.390767275202</v>
      </c>
      <c r="F79" s="19">
        <f t="shared" si="2"/>
        <v>630.3910657508337</v>
      </c>
    </row>
    <row r="80" spans="2:6" ht="13.5">
      <c r="B80" s="8">
        <f>B79+1</f>
        <v>78</v>
      </c>
      <c r="C80" s="9">
        <f t="shared" si="4"/>
        <v>1.361356816555577</v>
      </c>
      <c r="D80" s="9">
        <f t="shared" si="0"/>
        <v>12.168627892202647</v>
      </c>
      <c r="E80" s="9">
        <f t="shared" si="1"/>
        <v>286.081735243726</v>
      </c>
      <c r="F80" s="19">
        <f t="shared" si="2"/>
        <v>665.6432557407459</v>
      </c>
    </row>
    <row r="81" spans="2:6" ht="13.5">
      <c r="B81" s="8">
        <f>B80+1</f>
        <v>79</v>
      </c>
      <c r="C81" s="9">
        <f t="shared" si="4"/>
        <v>1.3788101090755203</v>
      </c>
      <c r="D81" s="9">
        <f t="shared" si="0"/>
        <v>13.259332952344657</v>
      </c>
      <c r="E81" s="9">
        <f t="shared" si="1"/>
        <v>312.83287010783135</v>
      </c>
      <c r="F81" s="19">
        <f t="shared" si="2"/>
        <v>708.3121902315992</v>
      </c>
    </row>
    <row r="82" spans="2:6" ht="13.5">
      <c r="B82" s="6">
        <f>B81+1</f>
        <v>80</v>
      </c>
      <c r="C82" s="16">
        <f t="shared" si="4"/>
        <v>1.3962634015954636</v>
      </c>
      <c r="D82" s="16">
        <f t="shared" si="0"/>
        <v>14.569689322353392</v>
      </c>
      <c r="E82" s="16">
        <f t="shared" si="1"/>
        <v>344.8624240923145</v>
      </c>
      <c r="F82" s="20">
        <f t="shared" si="2"/>
        <v>760.5650783290744</v>
      </c>
    </row>
    <row r="83" spans="2:6" ht="13.5">
      <c r="B83" s="14"/>
      <c r="C83" s="15"/>
      <c r="D83" s="15"/>
      <c r="E83" s="15"/>
      <c r="F83" s="15"/>
    </row>
  </sheetData>
  <mergeCells count="7">
    <mergeCell ref="G40:H41"/>
    <mergeCell ref="B38:B39"/>
    <mergeCell ref="C38:D38"/>
    <mergeCell ref="C39:D39"/>
    <mergeCell ref="B40:B41"/>
    <mergeCell ref="C40:F40"/>
    <mergeCell ref="C41:F41"/>
  </mergeCells>
  <printOptions/>
  <pageMargins left="0.75" right="0.75" top="1" bottom="1" header="0.512" footer="0.512"/>
  <pageSetup horizontalDpi="600" verticalDpi="600" orientation="portrait" paperSize="9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シーネット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右城 猛</dc:creator>
  <cp:keywords/>
  <dc:description/>
  <cp:lastModifiedBy> </cp:lastModifiedBy>
  <cp:lastPrinted>2004-10-22T08:35:30Z</cp:lastPrinted>
  <dcterms:created xsi:type="dcterms:W3CDTF">2004-10-22T04:44:44Z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