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10770" activeTab="0"/>
  </bookViews>
  <sheets>
    <sheet name="等分布" sheetId="1" r:id="rId1"/>
  </sheets>
  <definedNames>
    <definedName name="solver_adj" localSheetId="0" hidden="1">'等分布'!$D$14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'等分布'!$D$14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'等分布'!$D$40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<sst xmlns="http://schemas.openxmlformats.org/spreadsheetml/2006/main" count="128" uniqueCount="98">
  <si>
    <t>h=</t>
  </si>
  <si>
    <t>B=</t>
  </si>
  <si>
    <t>N1=</t>
  </si>
  <si>
    <t>N2=</t>
  </si>
  <si>
    <t>kv=</t>
  </si>
  <si>
    <t>ks=</t>
  </si>
  <si>
    <t>kh=</t>
  </si>
  <si>
    <t>K1=</t>
  </si>
  <si>
    <t>K2=</t>
  </si>
  <si>
    <t>K3=</t>
  </si>
  <si>
    <t>L=</t>
  </si>
  <si>
    <t>u0=</t>
  </si>
  <si>
    <t>v0=</t>
  </si>
  <si>
    <t>α=</t>
  </si>
  <si>
    <t>qv1=</t>
  </si>
  <si>
    <t>qv2=</t>
  </si>
  <si>
    <t>荷重</t>
  </si>
  <si>
    <t>壁高</t>
  </si>
  <si>
    <t>底面幅</t>
  </si>
  <si>
    <t>基礎長</t>
  </si>
  <si>
    <t>バネ定数</t>
  </si>
  <si>
    <t>原点変位</t>
  </si>
  <si>
    <t>γ=</t>
  </si>
  <si>
    <t>φ=</t>
  </si>
  <si>
    <t>c=</t>
  </si>
  <si>
    <t>度</t>
  </si>
  <si>
    <t>rad</t>
  </si>
  <si>
    <t>KP=</t>
  </si>
  <si>
    <t>kN/m2</t>
  </si>
  <si>
    <t>PP=</t>
  </si>
  <si>
    <t>kN/m</t>
  </si>
  <si>
    <t>yP=</t>
  </si>
  <si>
    <t>m</t>
  </si>
  <si>
    <t>鉛直力</t>
  </si>
  <si>
    <t>水平力</t>
  </si>
  <si>
    <t>モーメント</t>
  </si>
  <si>
    <t>基礎寸法</t>
  </si>
  <si>
    <t>地盤N値</t>
  </si>
  <si>
    <t>根入れ部</t>
  </si>
  <si>
    <t>底面</t>
  </si>
  <si>
    <t>土質定数</t>
  </si>
  <si>
    <t>単位重量</t>
  </si>
  <si>
    <t>内部摩擦角</t>
  </si>
  <si>
    <t>粘着力</t>
  </si>
  <si>
    <t>h1=</t>
  </si>
  <si>
    <t>kNm/m</t>
  </si>
  <si>
    <t>kN/m3</t>
  </si>
  <si>
    <t>受働土圧</t>
  </si>
  <si>
    <t>土圧係数</t>
  </si>
  <si>
    <t>土圧合力</t>
  </si>
  <si>
    <t>作用高さ</t>
  </si>
  <si>
    <t>鉛直方向</t>
  </si>
  <si>
    <t>せん断</t>
  </si>
  <si>
    <t>水平方向</t>
  </si>
  <si>
    <t>kN/m・rad</t>
  </si>
  <si>
    <t>水平変位</t>
  </si>
  <si>
    <t>鉛直変位</t>
  </si>
  <si>
    <t>回転角</t>
  </si>
  <si>
    <t>地盤反力</t>
  </si>
  <si>
    <t>底面鉛直</t>
  </si>
  <si>
    <t>底面水平</t>
  </si>
  <si>
    <t>側面</t>
  </si>
  <si>
    <t>Ho'=</t>
  </si>
  <si>
    <t>Mo'=</t>
  </si>
  <si>
    <t>Vo=</t>
  </si>
  <si>
    <t>Ho=</t>
  </si>
  <si>
    <t>Mo=</t>
  </si>
  <si>
    <t>底面荷重</t>
  </si>
  <si>
    <t>■入力データ</t>
  </si>
  <si>
    <t>■出力データ</t>
  </si>
  <si>
    <t>h2=</t>
  </si>
  <si>
    <t>塑性化域</t>
  </si>
  <si>
    <t>弾性域</t>
  </si>
  <si>
    <t>根入地盤</t>
  </si>
  <si>
    <t>底面の</t>
  </si>
  <si>
    <t>側面の</t>
  </si>
  <si>
    <t>地盤反力</t>
  </si>
  <si>
    <t>弾性上端</t>
  </si>
  <si>
    <t>弾性下端</t>
  </si>
  <si>
    <t>塑性下端</t>
  </si>
  <si>
    <t>塑性上端</t>
  </si>
  <si>
    <t>pp1=</t>
  </si>
  <si>
    <t>pp2=</t>
  </si>
  <si>
    <t>pe1=</t>
  </si>
  <si>
    <t>pe2=</t>
  </si>
  <si>
    <t>解析誤差</t>
  </si>
  <si>
    <t>Δp=</t>
  </si>
  <si>
    <t>Rv=</t>
  </si>
  <si>
    <t>qs=</t>
  </si>
  <si>
    <t>Rs=</t>
  </si>
  <si>
    <t>弾性合力</t>
  </si>
  <si>
    <t>RH=</t>
  </si>
  <si>
    <t>x</t>
  </si>
  <si>
    <t>基礎</t>
  </si>
  <si>
    <t>底面qv</t>
  </si>
  <si>
    <t>縮尺1:</t>
  </si>
  <si>
    <t>◆データ入力後ソルバーを実行して下さい．</t>
  </si>
  <si>
    <r>
      <t>ツール(</t>
    </r>
    <r>
      <rPr>
        <u val="single"/>
        <sz val="11"/>
        <color indexed="10"/>
        <rFont val="ＭＳ Ｐ明朝"/>
        <family val="1"/>
      </rPr>
      <t>T</t>
    </r>
    <r>
      <rPr>
        <sz val="11"/>
        <color indexed="10"/>
        <rFont val="ＭＳ Ｐ明朝"/>
        <family val="1"/>
      </rPr>
      <t>)→ソルバー(</t>
    </r>
    <r>
      <rPr>
        <u val="single"/>
        <sz val="11"/>
        <color indexed="10"/>
        <rFont val="ＭＳ Ｐ明朝"/>
        <family val="1"/>
      </rPr>
      <t>V</t>
    </r>
    <r>
      <rPr>
        <sz val="11"/>
        <color indexed="10"/>
        <rFont val="ＭＳ Ｐ明朝"/>
        <family val="1"/>
      </rPr>
      <t>)→実行(</t>
    </r>
    <r>
      <rPr>
        <u val="single"/>
        <sz val="11"/>
        <color indexed="10"/>
        <rFont val="ＭＳ Ｐ明朝"/>
        <family val="1"/>
      </rPr>
      <t>S</t>
    </r>
    <r>
      <rPr>
        <sz val="11"/>
        <color indexed="10"/>
        <rFont val="ＭＳ Ｐ明朝"/>
        <family val="1"/>
      </rPr>
      <t>)→OK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</si>
</sst>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6"/>
      <name val="ＭＳ Ｐ明朝"/>
      <family val="1"/>
    </font>
    <font>
      <u val="single"/>
      <sz val="11"/>
      <color indexed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'等分布'!$C$47</c:f>
              <c:strCache>
                <c:ptCount val="1"/>
                <c:pt idx="0">
                  <c:v>基礎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'等分布'!$B$48:$B$62</c:f>
              <c:numCache/>
            </c:numRef>
          </c:xVal>
          <c:yVal>
            <c:numRef>
              <c:f>'等分布'!$C$48:$C$62</c:f>
              <c:numCache/>
            </c:numRef>
          </c:yVal>
          <c:smooth val="0"/>
        </c:ser>
        <c:ser>
          <c:idx val="1"/>
          <c:order val="1"/>
          <c:tx>
            <c:strRef>
              <c:f>'等分布'!$D$47</c:f>
              <c:strCache>
                <c:ptCount val="1"/>
                <c:pt idx="0">
                  <c:v>底面qv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'等分布'!$B$48:$B$62</c:f>
              <c:numCache/>
            </c:numRef>
          </c:xVal>
          <c:yVal>
            <c:numRef>
              <c:f>'等分布'!$D$48:$D$62</c:f>
              <c:numCache/>
            </c:numRef>
          </c:yVal>
          <c:smooth val="0"/>
        </c:ser>
        <c:ser>
          <c:idx val="2"/>
          <c:order val="2"/>
          <c:tx>
            <c:strRef>
              <c:f>'等分布'!$E$47</c:f>
              <c:strCache>
                <c:ptCount val="1"/>
                <c:pt idx="0">
                  <c:v>側面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'等分布'!$B$48:$B$62</c:f>
              <c:numCache/>
            </c:numRef>
          </c:xVal>
          <c:yVal>
            <c:numRef>
              <c:f>'等分布'!$E$48:$E$62</c:f>
              <c:numCache/>
            </c:numRef>
          </c:yVal>
          <c:smooth val="0"/>
        </c:ser>
        <c:axId val="19658002"/>
        <c:axId val="42704291"/>
      </c:scatterChart>
      <c:valAx>
        <c:axId val="19658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04291"/>
        <c:crosses val="autoZero"/>
        <c:crossBetween val="midCat"/>
        <c:dispUnits/>
      </c:valAx>
      <c:valAx>
        <c:axId val="427042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6580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47625</xdr:rowOff>
    </xdr:from>
    <xdr:to>
      <xdr:col>5</xdr:col>
      <xdr:colOff>476250</xdr:colOff>
      <xdr:row>67</xdr:row>
      <xdr:rowOff>0</xdr:rowOff>
    </xdr:to>
    <xdr:graphicFrame>
      <xdr:nvGraphicFramePr>
        <xdr:cNvPr id="1" name="Chart 14"/>
        <xdr:cNvGraphicFramePr/>
      </xdr:nvGraphicFramePr>
      <xdr:xfrm>
        <a:off x="257175" y="7077075"/>
        <a:ext cx="38957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I8" sqref="I8"/>
    </sheetView>
  </sheetViews>
  <sheetFormatPr defaultColWidth="9.00390625" defaultRowHeight="13.5"/>
  <cols>
    <col min="2" max="2" width="10.625" style="0" customWidth="1"/>
    <col min="3" max="3" width="9.00390625" style="1" customWidth="1"/>
    <col min="4" max="4" width="10.625" style="1" customWidth="1"/>
  </cols>
  <sheetData>
    <row r="1" ht="13.5">
      <c r="A1" t="s">
        <v>68</v>
      </c>
    </row>
    <row r="2" spans="1:7" ht="13.5">
      <c r="A2" t="s">
        <v>16</v>
      </c>
      <c r="B2" t="s">
        <v>33</v>
      </c>
      <c r="C2" s="1" t="s">
        <v>64</v>
      </c>
      <c r="D2" s="3">
        <v>58.8</v>
      </c>
      <c r="E2" t="s">
        <v>30</v>
      </c>
      <c r="G2" s="4" t="s">
        <v>96</v>
      </c>
    </row>
    <row r="3" spans="2:7" ht="13.5">
      <c r="B3" t="s">
        <v>34</v>
      </c>
      <c r="C3" s="1" t="s">
        <v>65</v>
      </c>
      <c r="D3" s="3">
        <v>28.5</v>
      </c>
      <c r="E3" t="s">
        <v>30</v>
      </c>
      <c r="G3" s="4" t="s">
        <v>97</v>
      </c>
    </row>
    <row r="4" spans="2:5" ht="13.5">
      <c r="B4" t="s">
        <v>35</v>
      </c>
      <c r="C4" s="1" t="s">
        <v>66</v>
      </c>
      <c r="D4" s="3">
        <v>21.5</v>
      </c>
      <c r="E4" t="s">
        <v>45</v>
      </c>
    </row>
    <row r="5" spans="1:5" ht="13.5">
      <c r="A5" t="s">
        <v>36</v>
      </c>
      <c r="B5" t="s">
        <v>17</v>
      </c>
      <c r="C5" s="1" t="s">
        <v>0</v>
      </c>
      <c r="D5" s="3">
        <v>2</v>
      </c>
      <c r="E5" t="s">
        <v>32</v>
      </c>
    </row>
    <row r="6" spans="2:5" ht="13.5">
      <c r="B6" t="s">
        <v>18</v>
      </c>
      <c r="C6" s="1" t="s">
        <v>1</v>
      </c>
      <c r="D6" s="3">
        <v>1.8</v>
      </c>
      <c r="E6" t="s">
        <v>32</v>
      </c>
    </row>
    <row r="7" spans="2:5" ht="13.5">
      <c r="B7" t="s">
        <v>19</v>
      </c>
      <c r="C7" s="1" t="s">
        <v>10</v>
      </c>
      <c r="D7" s="3">
        <v>10</v>
      </c>
      <c r="E7" t="s">
        <v>32</v>
      </c>
    </row>
    <row r="8" spans="1:4" ht="13.5">
      <c r="A8" t="s">
        <v>37</v>
      </c>
      <c r="B8" t="s">
        <v>38</v>
      </c>
      <c r="C8" s="1" t="s">
        <v>2</v>
      </c>
      <c r="D8" s="3">
        <v>10</v>
      </c>
    </row>
    <row r="9" spans="2:4" ht="13.5">
      <c r="B9" t="s">
        <v>39</v>
      </c>
      <c r="C9" s="1" t="s">
        <v>3</v>
      </c>
      <c r="D9" s="3">
        <v>30</v>
      </c>
    </row>
    <row r="10" spans="1:5" ht="13.5">
      <c r="A10" t="s">
        <v>40</v>
      </c>
      <c r="B10" t="s">
        <v>41</v>
      </c>
      <c r="C10" s="1" t="s">
        <v>22</v>
      </c>
      <c r="D10" s="3">
        <v>19</v>
      </c>
      <c r="E10" t="s">
        <v>46</v>
      </c>
    </row>
    <row r="11" spans="2:7" ht="13.5">
      <c r="B11" t="s">
        <v>42</v>
      </c>
      <c r="C11" s="1" t="s">
        <v>23</v>
      </c>
      <c r="D11" s="3">
        <v>30</v>
      </c>
      <c r="E11" t="s">
        <v>25</v>
      </c>
      <c r="F11">
        <f>D11*PI()/180</f>
        <v>0.5235987755982988</v>
      </c>
      <c r="G11" t="s">
        <v>26</v>
      </c>
    </row>
    <row r="12" spans="2:5" ht="13.5">
      <c r="B12" t="s">
        <v>43</v>
      </c>
      <c r="C12" s="1" t="s">
        <v>24</v>
      </c>
      <c r="D12" s="3">
        <v>0</v>
      </c>
      <c r="E12" t="s">
        <v>28</v>
      </c>
    </row>
    <row r="13" ht="13.5">
      <c r="A13" t="s">
        <v>69</v>
      </c>
    </row>
    <row r="14" spans="1:5" ht="13.5">
      <c r="A14" t="s">
        <v>73</v>
      </c>
      <c r="B14" t="s">
        <v>71</v>
      </c>
      <c r="C14" s="1" t="s">
        <v>44</v>
      </c>
      <c r="D14" s="2">
        <v>0.1960514104668949</v>
      </c>
      <c r="E14" t="s">
        <v>32</v>
      </c>
    </row>
    <row r="15" spans="2:5" ht="13.5">
      <c r="B15" t="s">
        <v>72</v>
      </c>
      <c r="C15" s="1" t="s">
        <v>70</v>
      </c>
      <c r="D15" s="2">
        <f>D5-D14</f>
        <v>1.803948589533105</v>
      </c>
      <c r="E15" t="s">
        <v>32</v>
      </c>
    </row>
    <row r="16" spans="1:4" ht="13.5">
      <c r="A16" t="s">
        <v>47</v>
      </c>
      <c r="B16" t="s">
        <v>48</v>
      </c>
      <c r="C16" s="1" t="s">
        <v>27</v>
      </c>
      <c r="D16" s="1">
        <f>TAN(PI()/4+F11/2)^2</f>
        <v>2.9999999999999982</v>
      </c>
    </row>
    <row r="17" spans="2:5" ht="13.5">
      <c r="B17" t="s">
        <v>49</v>
      </c>
      <c r="C17" s="1" t="s">
        <v>29</v>
      </c>
      <c r="D17" s="1">
        <f>1/2*D10*D14^2*D16+2*D12*D14*(D16)^0.5</f>
        <v>1.0954304330626783</v>
      </c>
      <c r="E17" t="s">
        <v>30</v>
      </c>
    </row>
    <row r="18" spans="2:5" ht="13.5">
      <c r="B18" t="s">
        <v>50</v>
      </c>
      <c r="C18" s="1" t="s">
        <v>31</v>
      </c>
      <c r="D18" s="1">
        <f>IF(D14=0,D15,D15+D14/3*(2*D35+D36)/(D35+D36))</f>
        <v>1.8692990596887367</v>
      </c>
      <c r="E18" t="s">
        <v>32</v>
      </c>
    </row>
    <row r="19" spans="1:5" ht="13.5">
      <c r="A19" t="s">
        <v>67</v>
      </c>
      <c r="B19" t="s">
        <v>34</v>
      </c>
      <c r="C19" s="1" t="s">
        <v>62</v>
      </c>
      <c r="D19" s="1">
        <f>D3-D17</f>
        <v>27.404569566937322</v>
      </c>
      <c r="E19" t="s">
        <v>30</v>
      </c>
    </row>
    <row r="20" spans="2:5" ht="13.5">
      <c r="B20" t="s">
        <v>35</v>
      </c>
      <c r="C20" s="1" t="s">
        <v>63</v>
      </c>
      <c r="D20" s="1">
        <f>D4-D17*D18</f>
        <v>19.45231292152151</v>
      </c>
      <c r="E20" t="s">
        <v>45</v>
      </c>
    </row>
    <row r="21" spans="1:5" ht="13.5">
      <c r="A21" t="s">
        <v>20</v>
      </c>
      <c r="B21" t="s">
        <v>51</v>
      </c>
      <c r="C21" s="1" t="s">
        <v>4</v>
      </c>
      <c r="D21" s="1">
        <f>3783*D9*(D6*D7)^(-0.375)</f>
        <v>38391.08680132055</v>
      </c>
      <c r="E21" t="s">
        <v>46</v>
      </c>
    </row>
    <row r="22" spans="2:5" ht="13.5">
      <c r="B22" t="s">
        <v>52</v>
      </c>
      <c r="C22" s="1" t="s">
        <v>5</v>
      </c>
      <c r="D22" s="1">
        <f>D21/4</f>
        <v>9597.771700330137</v>
      </c>
      <c r="E22" t="s">
        <v>46</v>
      </c>
    </row>
    <row r="23" spans="2:5" ht="13.5">
      <c r="B23" t="s">
        <v>53</v>
      </c>
      <c r="C23" s="1" t="s">
        <v>6</v>
      </c>
      <c r="D23" s="1">
        <f>3783*D8*(D15*D7)^(-0.375)</f>
        <v>12786.517654633497</v>
      </c>
      <c r="E23" t="s">
        <v>46</v>
      </c>
    </row>
    <row r="24" spans="3:5" ht="13.5">
      <c r="C24" s="1" t="s">
        <v>7</v>
      </c>
      <c r="D24" s="1">
        <f>D23*D6+D23*D15</f>
        <v>46081.95226645654</v>
      </c>
      <c r="E24" t="s">
        <v>46</v>
      </c>
    </row>
    <row r="25" spans="3:5" ht="13.5">
      <c r="C25" s="1" t="s">
        <v>8</v>
      </c>
      <c r="D25" s="1">
        <f>1/2*D23*D15^2</f>
        <v>20805.137957698455</v>
      </c>
      <c r="E25" t="s">
        <v>28</v>
      </c>
    </row>
    <row r="26" spans="3:5" ht="13.5">
      <c r="C26" s="1" t="s">
        <v>9</v>
      </c>
      <c r="D26" s="1">
        <f>1/12*D21*D6^3+1/3*D23*D15^3</f>
        <v>43679.001034662986</v>
      </c>
      <c r="E26" t="s">
        <v>54</v>
      </c>
    </row>
    <row r="27" spans="1:5" ht="13.5">
      <c r="A27" t="s">
        <v>21</v>
      </c>
      <c r="B27" t="s">
        <v>55</v>
      </c>
      <c r="C27" s="1" t="s">
        <v>11</v>
      </c>
      <c r="D27" s="1">
        <f>(D19*D26-D20*D25)/(D24*D26-D25^2)</f>
        <v>0.0005014660061517468</v>
      </c>
      <c r="E27" t="s">
        <v>32</v>
      </c>
    </row>
    <row r="28" spans="2:5" ht="13.5">
      <c r="B28" t="s">
        <v>56</v>
      </c>
      <c r="C28" s="1" t="s">
        <v>12</v>
      </c>
      <c r="D28" s="1">
        <f>D2/D21/D6</f>
        <v>0.0008508919488453508</v>
      </c>
      <c r="E28" t="s">
        <v>32</v>
      </c>
    </row>
    <row r="29" spans="2:5" ht="13.5">
      <c r="B29" t="s">
        <v>57</v>
      </c>
      <c r="C29" s="1" t="s">
        <v>13</v>
      </c>
      <c r="D29" s="1">
        <f>(D20*D24-D19*D25)/(D24*D26-D25^2)</f>
        <v>0.00020648923438704167</v>
      </c>
      <c r="E29" t="s">
        <v>26</v>
      </c>
    </row>
    <row r="30" spans="1:5" ht="13.5">
      <c r="A30" t="s">
        <v>74</v>
      </c>
      <c r="B30" t="s">
        <v>59</v>
      </c>
      <c r="C30" s="1" t="s">
        <v>14</v>
      </c>
      <c r="D30" s="1">
        <f>D21*(D28+D6/2*D29)</f>
        <v>39.801278175468696</v>
      </c>
      <c r="E30" t="s">
        <v>28</v>
      </c>
    </row>
    <row r="31" spans="1:5" ht="13.5">
      <c r="A31" t="s">
        <v>58</v>
      </c>
      <c r="C31" s="1" t="s">
        <v>15</v>
      </c>
      <c r="D31" s="1">
        <f>D21*(D28-D6/2*D29)</f>
        <v>25.532055157864637</v>
      </c>
      <c r="E31" t="s">
        <v>28</v>
      </c>
    </row>
    <row r="32" spans="3:5" ht="13.5">
      <c r="C32" s="1" t="s">
        <v>87</v>
      </c>
      <c r="D32" s="1">
        <f>1/2*(D30+D31)*D6</f>
        <v>58.8</v>
      </c>
      <c r="E32" t="s">
        <v>30</v>
      </c>
    </row>
    <row r="33" spans="2:5" ht="13.5">
      <c r="B33" t="s">
        <v>60</v>
      </c>
      <c r="C33" s="1" t="s">
        <v>88</v>
      </c>
      <c r="D33" s="1">
        <f>D27*D22</f>
        <v>4.812956242520813</v>
      </c>
      <c r="E33" t="s">
        <v>28</v>
      </c>
    </row>
    <row r="34" spans="3:5" ht="13.5">
      <c r="C34" s="1" t="s">
        <v>89</v>
      </c>
      <c r="D34" s="1">
        <f>-D33*D6</f>
        <v>-8.663321236537463</v>
      </c>
      <c r="E34" t="s">
        <v>30</v>
      </c>
    </row>
    <row r="35" spans="1:5" ht="13.5">
      <c r="A35" t="s">
        <v>75</v>
      </c>
      <c r="B35" t="s">
        <v>80</v>
      </c>
      <c r="C35" s="1" t="s">
        <v>81</v>
      </c>
      <c r="D35" s="1">
        <f>2*D12*D16^0.5</f>
        <v>0</v>
      </c>
      <c r="E35" t="s">
        <v>28</v>
      </c>
    </row>
    <row r="36" spans="1:5" ht="13.5">
      <c r="A36" t="s">
        <v>76</v>
      </c>
      <c r="B36" t="s">
        <v>79</v>
      </c>
      <c r="C36" s="1" t="s">
        <v>82</v>
      </c>
      <c r="D36" s="1">
        <f>D10*D14*D16+D35</f>
        <v>11.174930396613002</v>
      </c>
      <c r="E36" t="s">
        <v>28</v>
      </c>
    </row>
    <row r="37" spans="2:5" ht="13.5">
      <c r="B37" t="s">
        <v>77</v>
      </c>
      <c r="C37" s="1" t="s">
        <v>83</v>
      </c>
      <c r="D37" s="1">
        <f>D23*(D27+D15*D29)</f>
        <v>11.174930149651678</v>
      </c>
      <c r="E37" t="s">
        <v>28</v>
      </c>
    </row>
    <row r="38" spans="2:5" ht="13.5">
      <c r="B38" t="s">
        <v>78</v>
      </c>
      <c r="C38" s="1" t="s">
        <v>84</v>
      </c>
      <c r="D38" s="1">
        <f>D23*D27</f>
        <v>6.4120039408578595</v>
      </c>
      <c r="E38" t="s">
        <v>28</v>
      </c>
    </row>
    <row r="39" spans="2:5" ht="13.5">
      <c r="B39" t="s">
        <v>90</v>
      </c>
      <c r="C39" s="1" t="s">
        <v>91</v>
      </c>
      <c r="D39" s="1">
        <f>1/2*(D37+D38)*D15</f>
        <v>15.86296247339318</v>
      </c>
      <c r="E39" t="s">
        <v>30</v>
      </c>
    </row>
    <row r="40" spans="1:5" ht="13.5">
      <c r="A40" t="s">
        <v>85</v>
      </c>
      <c r="C40" s="1" t="s">
        <v>86</v>
      </c>
      <c r="D40" s="1">
        <f>D36-D37</f>
        <v>2.4696132427948214E-07</v>
      </c>
      <c r="E40" t="s">
        <v>28</v>
      </c>
    </row>
    <row r="45" spans="3:4" ht="13.5">
      <c r="C45" s="1" t="s">
        <v>95</v>
      </c>
      <c r="D45" s="1">
        <v>30</v>
      </c>
    </row>
    <row r="47" spans="2:5" ht="13.5">
      <c r="B47" t="s">
        <v>92</v>
      </c>
      <c r="C47" s="1" t="s">
        <v>93</v>
      </c>
      <c r="D47" s="1" t="s">
        <v>94</v>
      </c>
      <c r="E47" t="s">
        <v>61</v>
      </c>
    </row>
    <row r="48" spans="2:3" ht="13.5">
      <c r="B48">
        <v>0</v>
      </c>
      <c r="C48" s="1">
        <v>0</v>
      </c>
    </row>
    <row r="49" spans="2:3" ht="13.5">
      <c r="B49">
        <v>0</v>
      </c>
      <c r="C49" s="1">
        <f>D5</f>
        <v>2</v>
      </c>
    </row>
    <row r="50" spans="2:3" ht="13.5">
      <c r="B50">
        <f>D6</f>
        <v>1.8</v>
      </c>
      <c r="C50" s="1">
        <f>C49</f>
        <v>2</v>
      </c>
    </row>
    <row r="51" spans="2:3" ht="13.5">
      <c r="B51">
        <f>B50</f>
        <v>1.8</v>
      </c>
      <c r="C51" s="1">
        <v>0</v>
      </c>
    </row>
    <row r="52" spans="2:3" ht="13.5">
      <c r="B52">
        <v>0</v>
      </c>
      <c r="C52" s="1">
        <v>0</v>
      </c>
    </row>
    <row r="53" spans="2:9" ht="13.5">
      <c r="B53">
        <v>0</v>
      </c>
      <c r="D53" s="1">
        <v>0</v>
      </c>
      <c r="H53" s="1"/>
      <c r="I53" s="1"/>
    </row>
    <row r="54" spans="2:4" ht="13.5">
      <c r="B54">
        <v>0</v>
      </c>
      <c r="D54" s="1">
        <f>-D31/D45</f>
        <v>-0.8510685052621546</v>
      </c>
    </row>
    <row r="55" spans="2:4" ht="13.5">
      <c r="B55">
        <f>B51</f>
        <v>1.8</v>
      </c>
      <c r="D55" s="1">
        <f>-D30/D45</f>
        <v>-1.326709272515623</v>
      </c>
    </row>
    <row r="56" spans="2:4" ht="13.5">
      <c r="B56">
        <f>B55</f>
        <v>1.8</v>
      </c>
      <c r="D56" s="1">
        <v>0</v>
      </c>
    </row>
    <row r="57" spans="2:5" ht="13.5">
      <c r="B57">
        <f>B56</f>
        <v>1.8</v>
      </c>
      <c r="E57" s="1">
        <f>C50</f>
        <v>2</v>
      </c>
    </row>
    <row r="58" spans="2:5" ht="13.5">
      <c r="B58">
        <f>B57+D35/D45</f>
        <v>1.8</v>
      </c>
      <c r="E58" s="1">
        <f>E57</f>
        <v>2</v>
      </c>
    </row>
    <row r="59" spans="2:5" ht="13.5">
      <c r="B59">
        <f>B57+D36/D45</f>
        <v>2.1724976798871003</v>
      </c>
      <c r="E59" s="1">
        <f>D15</f>
        <v>1.803948589533105</v>
      </c>
    </row>
    <row r="60" spans="2:5" ht="13.5">
      <c r="B60">
        <f>B57+D37/D45</f>
        <v>2.172497671655056</v>
      </c>
      <c r="E60" s="1">
        <f>E59</f>
        <v>1.803948589533105</v>
      </c>
    </row>
    <row r="61" spans="2:5" ht="13.5">
      <c r="B61">
        <f>B57+D38/D45</f>
        <v>2.013733464695262</v>
      </c>
      <c r="E61" s="1">
        <v>0</v>
      </c>
    </row>
    <row r="62" spans="2:5" ht="13.5">
      <c r="B62">
        <f>B57</f>
        <v>1.8</v>
      </c>
      <c r="E62" s="1">
        <v>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2004-08-24T23:23:20Z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